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showInkAnnotation="0" defaultThemeVersion="124226"/>
  <xr:revisionPtr revIDLastSave="0" documentId="13_ncr:1_{ACB53455-0E2D-4A5C-9F0B-13649DBB06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 2012 - 2023" sheetId="3" r:id="rId1"/>
    <sheet name="BS 2012 - 2023" sheetId="1" r:id="rId2"/>
    <sheet name="CF YTD 2012 - 2023" sheetId="2" r:id="rId3"/>
    <sheet name="CF by Q 2012 - 2023" sheetId="4" r:id="rId4"/>
    <sheet name="Number of shares" sheetId="5" r:id="rId5"/>
  </sheets>
  <definedNames>
    <definedName name="AccountNum" localSheetId="1">#REF!</definedName>
    <definedName name="AccountNum" localSheetId="3">#REF!</definedName>
    <definedName name="AccountNum" localSheetId="2">#REF!</definedName>
    <definedName name="AccountNum" localSheetId="0">#REF!</definedName>
    <definedName name="AccountNum">#REF!</definedName>
    <definedName name="AccountType" localSheetId="1">#REF!</definedName>
    <definedName name="AccountType" localSheetId="3">#REF!</definedName>
    <definedName name="AccountType" localSheetId="2">#REF!</definedName>
    <definedName name="AccountType" localSheetId="0">#REF!</definedName>
    <definedName name="AccountType">#REF!</definedName>
    <definedName name="actual_data_DB">#REF!</definedName>
    <definedName name="AmountCurCredit" localSheetId="1">#REF!</definedName>
    <definedName name="AmountCurCredit" localSheetId="3">#REF!</definedName>
    <definedName name="AmountCurCredit" localSheetId="2">#REF!</definedName>
    <definedName name="AmountCurCredit" localSheetId="0">#REF!</definedName>
    <definedName name="AmountCurCredit">#REF!</definedName>
    <definedName name="AmountCurDebit" localSheetId="1">#REF!</definedName>
    <definedName name="AmountCurDebit" localSheetId="3">#REF!</definedName>
    <definedName name="AmountCurDebit" localSheetId="2">#REF!</definedName>
    <definedName name="AmountCurDebit" localSheetId="0">#REF!</definedName>
    <definedName name="AmountCurDebit">#REF!</definedName>
    <definedName name="budget_row_list">#REF!</definedName>
    <definedName name="CostPrice" localSheetId="1">#REF!</definedName>
    <definedName name="CostPrice" localSheetId="3">#REF!</definedName>
    <definedName name="CostPrice" localSheetId="2">#REF!</definedName>
    <definedName name="CostPrice" localSheetId="0">#REF!</definedName>
    <definedName name="CostPrice">#REF!</definedName>
    <definedName name="Currency" localSheetId="1">#REF!</definedName>
    <definedName name="Currency" localSheetId="3">#REF!</definedName>
    <definedName name="Currency" localSheetId="2">#REF!</definedName>
    <definedName name="Currency" localSheetId="0">#REF!</definedName>
    <definedName name="Currency">#REF!</definedName>
    <definedName name="data_afdelings_list">#REF!</definedName>
    <definedName name="data_bud1">#REF!</definedName>
    <definedName name="Data_fejl_belob" localSheetId="3">#REF!</definedName>
    <definedName name="Data_fejl_belob">#REF!</definedName>
    <definedName name="Data_fejl_pct" localSheetId="3">#REF!</definedName>
    <definedName name="Data_fejl_pct">#REF!</definedName>
    <definedName name="DataAreaID" localSheetId="1">#REF!</definedName>
    <definedName name="DataAreaID" localSheetId="3">#REF!</definedName>
    <definedName name="DataAreaID" localSheetId="2">#REF!</definedName>
    <definedName name="DataAreaID" localSheetId="0">#REF!</definedName>
    <definedName name="DataAreaID">#REF!</definedName>
    <definedName name="Department" localSheetId="1">#REF!</definedName>
    <definedName name="Department" localSheetId="3">#REF!</definedName>
    <definedName name="Department" localSheetId="2">#REF!</definedName>
    <definedName name="Department" localSheetId="0">#REF!</definedName>
    <definedName name="Department">#REF!</definedName>
    <definedName name="Employee" localSheetId="1">#REF!</definedName>
    <definedName name="Employee" localSheetId="3">#REF!</definedName>
    <definedName name="Employee" localSheetId="2">#REF!</definedName>
    <definedName name="Employee" localSheetId="0">#REF!</definedName>
    <definedName name="Employee">#REF!</definedName>
    <definedName name="exchrate" localSheetId="1">#REF!</definedName>
    <definedName name="exchrate" localSheetId="3">#REF!</definedName>
    <definedName name="exchrate" localSheetId="2">#REF!</definedName>
    <definedName name="exchrate" localSheetId="0">#REF!</definedName>
    <definedName name="exchrate">#REF!</definedName>
    <definedName name="itemsalestax" localSheetId="1">#REF!</definedName>
    <definedName name="itemsalestax" localSheetId="3">#REF!</definedName>
    <definedName name="itemsalestax" localSheetId="2">#REF!</definedName>
    <definedName name="itemsalestax" localSheetId="0">#REF!</definedName>
    <definedName name="itemsalestax">#REF!</definedName>
    <definedName name="JournalDescription" localSheetId="1">#REF!</definedName>
    <definedName name="JournalDescription" localSheetId="3">#REF!</definedName>
    <definedName name="JournalDescription" localSheetId="2">#REF!</definedName>
    <definedName name="JournalDescription" localSheetId="0">#REF!</definedName>
    <definedName name="JournalDescription">#REF!</definedName>
    <definedName name="JournalName" localSheetId="1">#REF!</definedName>
    <definedName name="JournalName" localSheetId="3">#REF!</definedName>
    <definedName name="JournalName" localSheetId="2">#REF!</definedName>
    <definedName name="JournalName" localSheetId="0">#REF!</definedName>
    <definedName name="JournalName">#REF!</definedName>
    <definedName name="JournalNumberSeq" localSheetId="1">#REF!</definedName>
    <definedName name="JournalNumberSeq" localSheetId="3">#REF!</definedName>
    <definedName name="JournalNumberSeq" localSheetId="2">#REF!</definedName>
    <definedName name="JournalNumberSeq" localSheetId="0">#REF!</definedName>
    <definedName name="JournalNumberSeq">#REF!</definedName>
    <definedName name="LanguageID" localSheetId="1">#REF!</definedName>
    <definedName name="LanguageID" localSheetId="3">#REF!</definedName>
    <definedName name="LanguageID" localSheetId="2">#REF!</definedName>
    <definedName name="LanguageID" localSheetId="0">#REF!</definedName>
    <definedName name="LanguageID">#REF!</definedName>
    <definedName name="_xlnm.Print_Area" localSheetId="1">'BS 2012 - 2023'!$B$1:$AW$69</definedName>
    <definedName name="_xlnm.Print_Area" localSheetId="3">'CF by Q 2012 - 2023'!$B$1:$AW$64</definedName>
    <definedName name="_xlnm.Print_Area" localSheetId="2">'CF YTD 2012 - 2023'!$B$1:$AW$51</definedName>
    <definedName name="_xlnm.Print_Area" localSheetId="0">'PL 2012 - 2023'!$B$1:$AX$57</definedName>
    <definedName name="ProjCategoryId" localSheetId="1">#REF!</definedName>
    <definedName name="ProjCategoryId" localSheetId="3">#REF!</definedName>
    <definedName name="ProjCategoryId" localSheetId="2">#REF!</definedName>
    <definedName name="ProjCategoryId" localSheetId="0">#REF!</definedName>
    <definedName name="ProjCategoryId">#REF!</definedName>
    <definedName name="ProjDim" localSheetId="1">#REF!</definedName>
    <definedName name="ProjDim" localSheetId="3">#REF!</definedName>
    <definedName name="ProjDim" localSheetId="2">#REF!</definedName>
    <definedName name="ProjDim" localSheetId="0">#REF!</definedName>
    <definedName name="ProjDim">#REF!</definedName>
    <definedName name="ProjEmplId" localSheetId="1">#REF!</definedName>
    <definedName name="ProjEmplId" localSheetId="3">#REF!</definedName>
    <definedName name="ProjEmplId" localSheetId="2">#REF!</definedName>
    <definedName name="ProjEmplId" localSheetId="0">#REF!</definedName>
    <definedName name="ProjEmplId">#REF!</definedName>
    <definedName name="ProjLinePropertyId" localSheetId="1">#REF!</definedName>
    <definedName name="ProjLinePropertyId" localSheetId="3">#REF!</definedName>
    <definedName name="ProjLinePropertyId" localSheetId="2">#REF!</definedName>
    <definedName name="ProjLinePropertyId" localSheetId="0">#REF!</definedName>
    <definedName name="ProjLinePropertyId">#REF!</definedName>
    <definedName name="ProjQty" localSheetId="1">#REF!</definedName>
    <definedName name="ProjQty" localSheetId="3">#REF!</definedName>
    <definedName name="ProjQty" localSheetId="2">#REF!</definedName>
    <definedName name="ProjQty" localSheetId="0">#REF!</definedName>
    <definedName name="ProjQty">#REF!</definedName>
    <definedName name="ProjSalesCurrencyId" localSheetId="1">#REF!</definedName>
    <definedName name="ProjSalesCurrencyId" localSheetId="3">#REF!</definedName>
    <definedName name="ProjSalesCurrencyId" localSheetId="2">#REF!</definedName>
    <definedName name="ProjSalesCurrencyId" localSheetId="0">#REF!</definedName>
    <definedName name="ProjSalesCurrencyId">#REF!</definedName>
    <definedName name="Purpose" localSheetId="1">#REF!</definedName>
    <definedName name="Purpose" localSheetId="3">#REF!</definedName>
    <definedName name="Purpose" localSheetId="2">#REF!</definedName>
    <definedName name="Purpose" localSheetId="0">#REF!</definedName>
    <definedName name="Purpose">#REF!</definedName>
    <definedName name="SalesPrice" localSheetId="1">#REF!</definedName>
    <definedName name="SalesPrice" localSheetId="3">#REF!</definedName>
    <definedName name="SalesPrice" localSheetId="2">#REF!</definedName>
    <definedName name="SalesPrice" localSheetId="0">#REF!</definedName>
    <definedName name="SalesPrice">#REF!</definedName>
    <definedName name="salestax" localSheetId="1">#REF!</definedName>
    <definedName name="salestax" localSheetId="3">#REF!</definedName>
    <definedName name="salestax" localSheetId="2">#REF!</definedName>
    <definedName name="salestax" localSheetId="0">#REF!</definedName>
    <definedName name="salestax">#REF!</definedName>
    <definedName name="Status" localSheetId="1">#REF!</definedName>
    <definedName name="Status" localSheetId="3">#REF!</definedName>
    <definedName name="Status" localSheetId="2">#REF!</definedName>
    <definedName name="Status" localSheetId="0">#REF!</definedName>
    <definedName name="Status">#REF!</definedName>
    <definedName name="Tracking_data" localSheetId="3">#REF!</definedName>
    <definedName name="Tracking_data">#REF!</definedName>
    <definedName name="TransDate" localSheetId="1">#REF!</definedName>
    <definedName name="TransDate" localSheetId="3">#REF!</definedName>
    <definedName name="TransDate" localSheetId="2">#REF!</definedName>
    <definedName name="TransDate" localSheetId="0">#REF!</definedName>
    <definedName name="TransDate">#REF!</definedName>
    <definedName name="Txt" localSheetId="1">#REF!</definedName>
    <definedName name="Txt" localSheetId="3">#REF!</definedName>
    <definedName name="Txt" localSheetId="2">#REF!</definedName>
    <definedName name="Txt" localSheetId="0">#REF!</definedName>
    <definedName name="Txt">#REF!</definedName>
    <definedName name="År_Md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4" l="1"/>
  <c r="C59" i="4"/>
  <c r="C54" i="4"/>
  <c r="C47" i="4"/>
  <c r="C46" i="4"/>
  <c r="C45" i="4"/>
  <c r="C44" i="4"/>
  <c r="C43" i="4"/>
  <c r="C42" i="4"/>
  <c r="C41" i="4"/>
  <c r="C40" i="4"/>
  <c r="C39" i="4"/>
  <c r="C38" i="4"/>
  <c r="C34" i="4"/>
  <c r="C33" i="4"/>
  <c r="C32" i="4"/>
  <c r="C31" i="4"/>
  <c r="C30" i="4"/>
  <c r="C29" i="4"/>
  <c r="C28" i="4"/>
  <c r="C24" i="4"/>
  <c r="C23" i="4"/>
  <c r="C22" i="4"/>
  <c r="C21" i="4"/>
  <c r="C17" i="4"/>
  <c r="C16" i="4"/>
  <c r="C15" i="4"/>
  <c r="C14" i="4"/>
  <c r="C13" i="4"/>
  <c r="C12" i="4"/>
  <c r="C11" i="4"/>
  <c r="C10" i="4"/>
  <c r="C9" i="4"/>
  <c r="C46" i="2"/>
  <c r="C42" i="1"/>
  <c r="C20" i="1"/>
  <c r="C58" i="4" l="1"/>
  <c r="C49" i="4"/>
  <c r="C36" i="4"/>
  <c r="C41" i="2"/>
  <c r="C30" i="2"/>
  <c r="C67" i="1"/>
  <c r="C58" i="1"/>
  <c r="C24" i="1"/>
  <c r="C36" i="1"/>
  <c r="C33" i="1"/>
  <c r="C50" i="1"/>
  <c r="C14" i="1"/>
  <c r="C26" i="1" l="1"/>
  <c r="C68" i="1"/>
  <c r="C69" i="1" s="1"/>
  <c r="C37" i="1"/>
  <c r="C38" i="1" s="1"/>
  <c r="D55" i="3" l="1"/>
  <c r="D57" i="3" s="1"/>
  <c r="D46" i="3"/>
  <c r="D37" i="3"/>
  <c r="D13" i="3"/>
  <c r="D9" i="3"/>
  <c r="D47" i="4"/>
  <c r="D46" i="4"/>
  <c r="D42" i="4"/>
  <c r="D32" i="4"/>
  <c r="D45" i="4"/>
  <c r="D23" i="4"/>
  <c r="D13" i="4"/>
  <c r="D12" i="4"/>
  <c r="D10" i="4"/>
  <c r="D60" i="4"/>
  <c r="D59" i="4"/>
  <c r="D46" i="2"/>
  <c r="D42" i="1"/>
  <c r="D15" i="3" l="1"/>
  <c r="D58" i="4"/>
  <c r="D24" i="1"/>
  <c r="D58" i="1"/>
  <c r="D36" i="1"/>
  <c r="D41" i="2"/>
  <c r="D30" i="2"/>
  <c r="D14" i="1"/>
  <c r="D33" i="1"/>
  <c r="D67" i="1"/>
  <c r="D50" i="1"/>
  <c r="D20" i="1"/>
  <c r="D18" i="3" l="1"/>
  <c r="D20" i="3" s="1"/>
  <c r="D68" i="1"/>
  <c r="D69" i="1" s="1"/>
  <c r="D26" i="1"/>
  <c r="D37" i="1"/>
  <c r="D38" i="1" s="1"/>
  <c r="E55" i="3" l="1"/>
  <c r="E57" i="3" s="1"/>
  <c r="E46" i="3"/>
  <c r="E37" i="3"/>
  <c r="E13" i="3"/>
  <c r="E9" i="3"/>
  <c r="E47" i="4"/>
  <c r="E46" i="4"/>
  <c r="E45" i="4"/>
  <c r="E42" i="4"/>
  <c r="E23" i="4"/>
  <c r="E13" i="4"/>
  <c r="E12" i="4"/>
  <c r="E10" i="4"/>
  <c r="E60" i="4"/>
  <c r="E59" i="4"/>
  <c r="D43" i="4"/>
  <c r="E43" i="4" l="1"/>
  <c r="E44" i="4"/>
  <c r="D44" i="4"/>
  <c r="E28" i="4"/>
  <c r="D28" i="4"/>
  <c r="E54" i="4"/>
  <c r="D54" i="4"/>
  <c r="E17" i="4"/>
  <c r="D17" i="4"/>
  <c r="E41" i="4"/>
  <c r="D41" i="4"/>
  <c r="E29" i="4"/>
  <c r="D29" i="4"/>
  <c r="E30" i="4"/>
  <c r="D30" i="4"/>
  <c r="E9" i="4"/>
  <c r="D9" i="4"/>
  <c r="E31" i="4"/>
  <c r="D31" i="4"/>
  <c r="E21" i="4"/>
  <c r="D21" i="4"/>
  <c r="E11" i="4"/>
  <c r="D11" i="4"/>
  <c r="E33" i="4"/>
  <c r="D33" i="4"/>
  <c r="E22" i="4"/>
  <c r="D22" i="4"/>
  <c r="E14" i="4"/>
  <c r="D14" i="4"/>
  <c r="E34" i="4"/>
  <c r="D34" i="4"/>
  <c r="E15" i="4"/>
  <c r="D15" i="4"/>
  <c r="E38" i="4"/>
  <c r="D38" i="4"/>
  <c r="E40" i="4"/>
  <c r="D40" i="4"/>
  <c r="E24" i="4"/>
  <c r="D24" i="4"/>
  <c r="E16" i="4"/>
  <c r="D16" i="4"/>
  <c r="E39" i="4"/>
  <c r="D39" i="4"/>
  <c r="E15" i="3"/>
  <c r="E41" i="2"/>
  <c r="E30" i="2"/>
  <c r="E46" i="2"/>
  <c r="E42" i="1"/>
  <c r="E49" i="4" l="1"/>
  <c r="E36" i="4"/>
  <c r="D49" i="4"/>
  <c r="D36" i="4"/>
  <c r="E18" i="3"/>
  <c r="E20" i="3" s="1"/>
  <c r="E58" i="4"/>
  <c r="E67" i="1"/>
  <c r="E58" i="1"/>
  <c r="E50" i="1"/>
  <c r="E36" i="1"/>
  <c r="E33" i="1"/>
  <c r="E24" i="1"/>
  <c r="E20" i="1"/>
  <c r="E14" i="1"/>
  <c r="E68" i="1" l="1"/>
  <c r="E69" i="1" s="1"/>
  <c r="E37" i="1"/>
  <c r="E26" i="1"/>
  <c r="E38" i="1" l="1"/>
  <c r="F29" i="2" l="1"/>
  <c r="F60" i="4"/>
  <c r="F59" i="4"/>
  <c r="F42" i="4"/>
  <c r="F23" i="4"/>
  <c r="F10" i="4"/>
  <c r="F46" i="2"/>
  <c r="F41" i="2"/>
  <c r="F30" i="2"/>
  <c r="F67" i="1"/>
  <c r="F58" i="1"/>
  <c r="F50" i="1"/>
  <c r="F42" i="1"/>
  <c r="F36" i="1"/>
  <c r="F33" i="1"/>
  <c r="F24" i="1"/>
  <c r="F20" i="1"/>
  <c r="F14" i="1"/>
  <c r="G60" i="4"/>
  <c r="G59" i="4"/>
  <c r="G42" i="4"/>
  <c r="G23" i="4"/>
  <c r="G10" i="4"/>
  <c r="F34" i="4"/>
  <c r="F54" i="4"/>
  <c r="F47" i="4"/>
  <c r="F46" i="4"/>
  <c r="F45" i="4"/>
  <c r="F44" i="4"/>
  <c r="F43" i="4"/>
  <c r="F41" i="4"/>
  <c r="F40" i="4"/>
  <c r="F39" i="4"/>
  <c r="F38" i="4"/>
  <c r="F33" i="4"/>
  <c r="F31" i="4"/>
  <c r="F30" i="4"/>
  <c r="F29" i="4"/>
  <c r="F28" i="4"/>
  <c r="F24" i="4"/>
  <c r="F22" i="4"/>
  <c r="F21" i="4"/>
  <c r="F17" i="4"/>
  <c r="F16" i="4"/>
  <c r="F15" i="4"/>
  <c r="F14" i="4"/>
  <c r="F13" i="4"/>
  <c r="F12" i="4"/>
  <c r="F11" i="4"/>
  <c r="F9" i="4"/>
  <c r="G42" i="1"/>
  <c r="F58" i="4" l="1"/>
  <c r="F49" i="4"/>
  <c r="F36" i="4"/>
  <c r="F37" i="1"/>
  <c r="F68" i="1"/>
  <c r="F69" i="1" s="1"/>
  <c r="F26" i="1"/>
  <c r="G36" i="1"/>
  <c r="G46" i="2"/>
  <c r="G41" i="2"/>
  <c r="G30" i="2"/>
  <c r="G67" i="1"/>
  <c r="G58" i="1"/>
  <c r="G50" i="1"/>
  <c r="G33" i="1"/>
  <c r="G24" i="1"/>
  <c r="G20" i="1"/>
  <c r="G14" i="1"/>
  <c r="G37" i="1" l="1"/>
  <c r="F38" i="1"/>
  <c r="G58" i="4"/>
  <c r="G68" i="1"/>
  <c r="G69" i="1" s="1"/>
  <c r="G26" i="1"/>
  <c r="G38" i="1" s="1"/>
  <c r="H13" i="3" l="1"/>
  <c r="H55" i="3"/>
  <c r="H57" i="3" s="1"/>
  <c r="H46" i="3"/>
  <c r="H37" i="3"/>
  <c r="H9" i="3"/>
  <c r="H42" i="4"/>
  <c r="H23" i="4"/>
  <c r="H10" i="4"/>
  <c r="H60" i="4"/>
  <c r="H59" i="4"/>
  <c r="G54" i="4"/>
  <c r="G44" i="4"/>
  <c r="G43" i="4"/>
  <c r="G47" i="4"/>
  <c r="G46" i="4"/>
  <c r="G45" i="4"/>
  <c r="G41" i="4"/>
  <c r="G40" i="4"/>
  <c r="G39" i="4"/>
  <c r="G38" i="4"/>
  <c r="G34" i="4"/>
  <c r="G33" i="4"/>
  <c r="G31" i="4"/>
  <c r="G30" i="4"/>
  <c r="G29" i="4"/>
  <c r="G28" i="4"/>
  <c r="G24" i="4"/>
  <c r="G22" i="4"/>
  <c r="G21" i="4"/>
  <c r="G15" i="4"/>
  <c r="G17" i="4"/>
  <c r="G16" i="4"/>
  <c r="G14" i="4"/>
  <c r="G13" i="4"/>
  <c r="G12" i="4"/>
  <c r="G11" i="4"/>
  <c r="G9" i="4"/>
  <c r="H42" i="1"/>
  <c r="G49" i="4" l="1"/>
  <c r="G36" i="4"/>
  <c r="H33" i="1"/>
  <c r="H36" i="1"/>
  <c r="H15" i="3"/>
  <c r="I13" i="3"/>
  <c r="H20" i="1"/>
  <c r="H46" i="2"/>
  <c r="H41" i="2"/>
  <c r="H30" i="2"/>
  <c r="H67" i="1"/>
  <c r="H58" i="1"/>
  <c r="H50" i="1"/>
  <c r="H24" i="1"/>
  <c r="H14" i="1"/>
  <c r="I55" i="3"/>
  <c r="I57" i="3" s="1"/>
  <c r="I46" i="3"/>
  <c r="I37" i="3"/>
  <c r="I9" i="3"/>
  <c r="H37" i="1" l="1"/>
  <c r="I15" i="3"/>
  <c r="I18" i="3" s="1"/>
  <c r="I20" i="3" s="1"/>
  <c r="H18" i="3"/>
  <c r="H20" i="3" s="1"/>
  <c r="H26" i="1"/>
  <c r="H38" i="1" s="1"/>
  <c r="H58" i="4"/>
  <c r="H68" i="1"/>
  <c r="H69" i="1" s="1"/>
  <c r="I42" i="4" l="1"/>
  <c r="I23" i="4"/>
  <c r="I10" i="4"/>
  <c r="I60" i="4"/>
  <c r="I59" i="4"/>
  <c r="I46" i="4" l="1"/>
  <c r="H46" i="4"/>
  <c r="I47" i="4"/>
  <c r="H47" i="4"/>
  <c r="I24" i="4"/>
  <c r="H24" i="4"/>
  <c r="I54" i="4"/>
  <c r="H54" i="4"/>
  <c r="I34" i="4"/>
  <c r="H34" i="4"/>
  <c r="I38" i="4"/>
  <c r="H38" i="4"/>
  <c r="I11" i="4"/>
  <c r="H11" i="4"/>
  <c r="I39" i="4"/>
  <c r="H39" i="4"/>
  <c r="I12" i="4"/>
  <c r="H12" i="4"/>
  <c r="I28" i="4"/>
  <c r="H28" i="4"/>
  <c r="I40" i="4"/>
  <c r="H40" i="4"/>
  <c r="I22" i="4"/>
  <c r="H22" i="4"/>
  <c r="I21" i="4"/>
  <c r="H21" i="4"/>
  <c r="I29" i="4"/>
  <c r="H29" i="4"/>
  <c r="I41" i="4"/>
  <c r="H41" i="4"/>
  <c r="I14" i="4"/>
  <c r="H14" i="4"/>
  <c r="I30" i="4"/>
  <c r="H30" i="4"/>
  <c r="I43" i="4"/>
  <c r="H43" i="4"/>
  <c r="I9" i="4"/>
  <c r="H9" i="4"/>
  <c r="I13" i="4"/>
  <c r="H13" i="4"/>
  <c r="I15" i="4"/>
  <c r="H15" i="4"/>
  <c r="I31" i="4"/>
  <c r="H31" i="4"/>
  <c r="I44" i="4"/>
  <c r="H44" i="4"/>
  <c r="I16" i="4"/>
  <c r="H16" i="4"/>
  <c r="I33" i="4"/>
  <c r="H33" i="4"/>
  <c r="I45" i="4"/>
  <c r="H45" i="4"/>
  <c r="I41" i="2"/>
  <c r="I30" i="2"/>
  <c r="I49" i="4" l="1"/>
  <c r="I36" i="4"/>
  <c r="H49" i="4"/>
  <c r="H36" i="4"/>
  <c r="I42" i="1"/>
  <c r="F37" i="3" l="1"/>
  <c r="F13" i="3" l="1"/>
  <c r="F55" i="3" l="1"/>
  <c r="F57" i="3" s="1"/>
  <c r="F46" i="3"/>
  <c r="F9" i="3" l="1"/>
  <c r="F15" i="3" s="1"/>
  <c r="I46" i="2"/>
  <c r="D7" i="2" l="1"/>
  <c r="D17" i="2" s="1"/>
  <c r="D22" i="2" s="1"/>
  <c r="D42" i="2" s="1"/>
  <c r="C7" i="2"/>
  <c r="E7" i="2"/>
  <c r="F18" i="3"/>
  <c r="F20" i="3" s="1"/>
  <c r="I58" i="4"/>
  <c r="I36" i="1"/>
  <c r="I33" i="1"/>
  <c r="I24" i="1"/>
  <c r="C7" i="4" l="1"/>
  <c r="C19" i="4" s="1"/>
  <c r="C26" i="4" s="1"/>
  <c r="C51" i="4" s="1"/>
  <c r="C17" i="2"/>
  <c r="C22" i="2" s="1"/>
  <c r="C42" i="2" s="1"/>
  <c r="E7" i="4"/>
  <c r="E19" i="4" s="1"/>
  <c r="E26" i="4" s="1"/>
  <c r="E51" i="4" s="1"/>
  <c r="D7" i="4"/>
  <c r="D19" i="4" s="1"/>
  <c r="D26" i="4" s="1"/>
  <c r="D51" i="4" s="1"/>
  <c r="E17" i="2"/>
  <c r="E22" i="2" s="1"/>
  <c r="E42" i="2" s="1"/>
  <c r="I37" i="1"/>
  <c r="I58" i="1" l="1"/>
  <c r="I67" i="1"/>
  <c r="I68" i="1" l="1"/>
  <c r="I20" i="1" l="1"/>
  <c r="I14" i="1"/>
  <c r="I26" i="1" s="1"/>
  <c r="I38" i="1" s="1"/>
  <c r="J60" i="4" l="1"/>
  <c r="J59" i="4"/>
  <c r="J45" i="4"/>
  <c r="J42" i="4"/>
  <c r="J16" i="4"/>
  <c r="J13" i="4"/>
  <c r="J12" i="4"/>
  <c r="J10" i="4"/>
  <c r="J46" i="2"/>
  <c r="J41" i="2"/>
  <c r="J30" i="2"/>
  <c r="J67" i="1"/>
  <c r="J58" i="1"/>
  <c r="J50" i="1"/>
  <c r="J42" i="1"/>
  <c r="J36" i="1"/>
  <c r="J33" i="1"/>
  <c r="J24" i="1"/>
  <c r="J20" i="1"/>
  <c r="J14" i="1"/>
  <c r="K45" i="4"/>
  <c r="K42" i="4"/>
  <c r="K16" i="4"/>
  <c r="K13" i="4"/>
  <c r="K12" i="4"/>
  <c r="K10" i="4"/>
  <c r="J54" i="4"/>
  <c r="K59" i="4"/>
  <c r="K60" i="4"/>
  <c r="J47" i="4"/>
  <c r="J46" i="4"/>
  <c r="J44" i="4"/>
  <c r="J43" i="4"/>
  <c r="J41" i="4"/>
  <c r="J40" i="4"/>
  <c r="J39" i="4"/>
  <c r="J38" i="4"/>
  <c r="J34" i="4"/>
  <c r="J33" i="4"/>
  <c r="J31" i="4"/>
  <c r="J30" i="4"/>
  <c r="J29" i="4"/>
  <c r="J28" i="4"/>
  <c r="J14" i="4"/>
  <c r="J24" i="4"/>
  <c r="J23" i="4"/>
  <c r="J22" i="4"/>
  <c r="J21" i="4"/>
  <c r="J17" i="4"/>
  <c r="J15" i="4"/>
  <c r="J11" i="4"/>
  <c r="J9" i="4"/>
  <c r="K46" i="2"/>
  <c r="K42" i="1"/>
  <c r="J36" i="4" l="1"/>
  <c r="J49" i="4"/>
  <c r="J58" i="4"/>
  <c r="J37" i="1"/>
  <c r="J26" i="1"/>
  <c r="J68" i="1"/>
  <c r="J69" i="1" s="1"/>
  <c r="K58" i="4"/>
  <c r="K41" i="2"/>
  <c r="K30" i="2"/>
  <c r="K58" i="1"/>
  <c r="K50" i="1"/>
  <c r="K36" i="1"/>
  <c r="K24" i="1"/>
  <c r="K33" i="1"/>
  <c r="K67" i="1"/>
  <c r="K20" i="1"/>
  <c r="K14" i="1"/>
  <c r="K37" i="1" l="1"/>
  <c r="J38" i="1"/>
  <c r="K68" i="1"/>
  <c r="K69" i="1" s="1"/>
  <c r="K26" i="1"/>
  <c r="K38" i="1" s="1"/>
  <c r="L55" i="3" l="1"/>
  <c r="L57" i="3" s="1"/>
  <c r="L46" i="3"/>
  <c r="L37" i="3"/>
  <c r="L13" i="3"/>
  <c r="L9" i="3"/>
  <c r="L10" i="4"/>
  <c r="L60" i="4"/>
  <c r="L59" i="4"/>
  <c r="K54" i="4"/>
  <c r="K47" i="4"/>
  <c r="K46" i="4"/>
  <c r="K44" i="4"/>
  <c r="K43" i="4"/>
  <c r="K41" i="4"/>
  <c r="K40" i="4"/>
  <c r="K39" i="4"/>
  <c r="K38" i="4"/>
  <c r="K31" i="4"/>
  <c r="K34" i="4"/>
  <c r="K33" i="4"/>
  <c r="K30" i="4"/>
  <c r="K29" i="4"/>
  <c r="K28" i="4"/>
  <c r="K24" i="4"/>
  <c r="K23" i="4"/>
  <c r="K22" i="4"/>
  <c r="K21" i="4"/>
  <c r="K9" i="4"/>
  <c r="K17" i="4"/>
  <c r="K15" i="4"/>
  <c r="K14" i="4"/>
  <c r="K11" i="4"/>
  <c r="L46" i="2"/>
  <c r="L24" i="1"/>
  <c r="L42" i="1"/>
  <c r="K36" i="4" l="1"/>
  <c r="K49" i="4"/>
  <c r="L15" i="3"/>
  <c r="L58" i="4"/>
  <c r="L41" i="2"/>
  <c r="L30" i="2"/>
  <c r="L67" i="1"/>
  <c r="L58" i="1"/>
  <c r="L50" i="1"/>
  <c r="L36" i="1"/>
  <c r="L33" i="1"/>
  <c r="L20" i="1"/>
  <c r="L14" i="1"/>
  <c r="L18" i="3" l="1"/>
  <c r="L20" i="3" s="1"/>
  <c r="L68" i="1"/>
  <c r="L69" i="1" s="1"/>
  <c r="L37" i="1"/>
  <c r="L26" i="1"/>
  <c r="L38" i="1" l="1"/>
  <c r="M55" i="3" l="1"/>
  <c r="M57" i="3" s="1"/>
  <c r="M46" i="3"/>
  <c r="M37" i="3"/>
  <c r="M10" i="4"/>
  <c r="M60" i="4"/>
  <c r="M59" i="4"/>
  <c r="M9" i="3" l="1"/>
  <c r="M13" i="3"/>
  <c r="M24" i="1"/>
  <c r="M42" i="1"/>
  <c r="M17" i="4" l="1"/>
  <c r="L17" i="4"/>
  <c r="M21" i="4"/>
  <c r="L21" i="4"/>
  <c r="M44" i="4"/>
  <c r="L44" i="4"/>
  <c r="M14" i="4"/>
  <c r="L14" i="4"/>
  <c r="M22" i="4"/>
  <c r="L22" i="4"/>
  <c r="M45" i="4"/>
  <c r="L45" i="4"/>
  <c r="M15" i="4"/>
  <c r="L15" i="4"/>
  <c r="M23" i="4"/>
  <c r="L23" i="4"/>
  <c r="M38" i="4"/>
  <c r="L38" i="4"/>
  <c r="M46" i="4"/>
  <c r="L46" i="4"/>
  <c r="M31" i="4"/>
  <c r="L31" i="4"/>
  <c r="M13" i="4"/>
  <c r="L13" i="4"/>
  <c r="M33" i="4"/>
  <c r="L33" i="4"/>
  <c r="M34" i="4"/>
  <c r="L34" i="4"/>
  <c r="M36" i="1"/>
  <c r="M16" i="4"/>
  <c r="L16" i="4"/>
  <c r="M24" i="4"/>
  <c r="L24" i="4"/>
  <c r="M39" i="4"/>
  <c r="L39" i="4"/>
  <c r="M47" i="4"/>
  <c r="L47" i="4"/>
  <c r="M12" i="4"/>
  <c r="L12" i="4"/>
  <c r="M43" i="4"/>
  <c r="L43" i="4"/>
  <c r="M54" i="4"/>
  <c r="L54" i="4"/>
  <c r="M9" i="4"/>
  <c r="L9" i="4"/>
  <c r="M29" i="4"/>
  <c r="L29" i="4"/>
  <c r="M41" i="4"/>
  <c r="L41" i="4"/>
  <c r="M28" i="4"/>
  <c r="L28" i="4"/>
  <c r="M40" i="4"/>
  <c r="L40" i="4"/>
  <c r="M11" i="4"/>
  <c r="L11" i="4"/>
  <c r="M30" i="4"/>
  <c r="L30" i="4"/>
  <c r="M42" i="4"/>
  <c r="L42" i="4"/>
  <c r="M15" i="3"/>
  <c r="M58" i="1"/>
  <c r="M67" i="1"/>
  <c r="M46" i="2"/>
  <c r="M41" i="2"/>
  <c r="M30" i="2"/>
  <c r="M50" i="1"/>
  <c r="M33" i="1"/>
  <c r="M20" i="1"/>
  <c r="M14" i="1"/>
  <c r="J13" i="3" l="1"/>
  <c r="M36" i="4"/>
  <c r="M37" i="1"/>
  <c r="M49" i="4"/>
  <c r="L36" i="4"/>
  <c r="L49" i="4"/>
  <c r="M18" i="3"/>
  <c r="M20" i="3" s="1"/>
  <c r="M68" i="1"/>
  <c r="M69" i="1" s="1"/>
  <c r="M58" i="4"/>
  <c r="M26" i="1"/>
  <c r="J55" i="3" l="1"/>
  <c r="J57" i="3" s="1"/>
  <c r="J37" i="3"/>
  <c r="J9" i="3"/>
  <c r="J15" i="3" s="1"/>
  <c r="F7" i="2" s="1"/>
  <c r="J46" i="3"/>
  <c r="M38" i="1"/>
  <c r="G7" i="2" l="1"/>
  <c r="G17" i="2" s="1"/>
  <c r="G22" i="2" s="1"/>
  <c r="G42" i="2" s="1"/>
  <c r="I7" i="2"/>
  <c r="I7" i="4" s="1"/>
  <c r="H7" i="2"/>
  <c r="J18" i="3"/>
  <c r="J20" i="3" s="1"/>
  <c r="N55" i="3"/>
  <c r="N57" i="3" s="1"/>
  <c r="N46" i="3"/>
  <c r="N37" i="3"/>
  <c r="N13" i="3"/>
  <c r="G7" i="4" l="1"/>
  <c r="G19" i="4" s="1"/>
  <c r="G26" i="4" s="1"/>
  <c r="G51" i="4" s="1"/>
  <c r="F17" i="2"/>
  <c r="F22" i="2" s="1"/>
  <c r="F42" i="2" s="1"/>
  <c r="F7" i="4"/>
  <c r="F19" i="4" s="1"/>
  <c r="F26" i="4" s="1"/>
  <c r="F51" i="4" s="1"/>
  <c r="H7" i="4"/>
  <c r="H17" i="2"/>
  <c r="H22" i="2" s="1"/>
  <c r="H42" i="2" s="1"/>
  <c r="N9" i="3"/>
  <c r="N15" i="3" s="1"/>
  <c r="J7" i="2" s="1"/>
  <c r="J17" i="2" l="1"/>
  <c r="J22" i="2" s="1"/>
  <c r="J42" i="2" s="1"/>
  <c r="L7" i="2"/>
  <c r="L17" i="2" s="1"/>
  <c r="L22" i="2" s="1"/>
  <c r="L42" i="2" s="1"/>
  <c r="K7" i="2"/>
  <c r="K17" i="2" s="1"/>
  <c r="K22" i="2" s="1"/>
  <c r="K42" i="2" s="1"/>
  <c r="N18" i="3"/>
  <c r="N20" i="3" s="1"/>
  <c r="M7" i="2"/>
  <c r="N60" i="4"/>
  <c r="N42" i="4"/>
  <c r="N10" i="4"/>
  <c r="N47" i="2"/>
  <c r="N59" i="4" s="1"/>
  <c r="N29" i="2"/>
  <c r="N30" i="2" s="1"/>
  <c r="N46" i="2"/>
  <c r="N58" i="4" s="1"/>
  <c r="N41" i="2"/>
  <c r="N42" i="1"/>
  <c r="N36" i="1"/>
  <c r="N24" i="1"/>
  <c r="N20" i="1"/>
  <c r="J7" i="4" l="1"/>
  <c r="J19" i="4" s="1"/>
  <c r="J26" i="4" s="1"/>
  <c r="J51" i="4" s="1"/>
  <c r="L7" i="4"/>
  <c r="L19" i="4" s="1"/>
  <c r="L26" i="4" s="1"/>
  <c r="L51" i="4" s="1"/>
  <c r="K7" i="4"/>
  <c r="K19" i="4" s="1"/>
  <c r="K26" i="4" s="1"/>
  <c r="K51" i="4" s="1"/>
  <c r="M17" i="2"/>
  <c r="M22" i="2" s="1"/>
  <c r="M42" i="2" s="1"/>
  <c r="M7" i="4"/>
  <c r="M19" i="4" s="1"/>
  <c r="M26" i="4" s="1"/>
  <c r="M51" i="4" s="1"/>
  <c r="N50" i="1"/>
  <c r="N67" i="1"/>
  <c r="N33" i="1"/>
  <c r="N37" i="1" s="1"/>
  <c r="N58" i="1"/>
  <c r="N14" i="1"/>
  <c r="N26" i="1" s="1"/>
  <c r="O60" i="4"/>
  <c r="O42" i="4"/>
  <c r="O10" i="4"/>
  <c r="O59" i="4"/>
  <c r="N54" i="4"/>
  <c r="N47" i="4"/>
  <c r="N46" i="4"/>
  <c r="N45" i="4"/>
  <c r="N44" i="4"/>
  <c r="N43" i="4"/>
  <c r="N41" i="4"/>
  <c r="N40" i="4"/>
  <c r="N39" i="4"/>
  <c r="N38" i="4"/>
  <c r="N34" i="4"/>
  <c r="N33" i="4"/>
  <c r="N31" i="4"/>
  <c r="N30" i="4"/>
  <c r="N29" i="4"/>
  <c r="N28" i="4"/>
  <c r="N24" i="4"/>
  <c r="N23" i="4"/>
  <c r="N22" i="4"/>
  <c r="N21" i="4"/>
  <c r="N17" i="4"/>
  <c r="N16" i="4"/>
  <c r="N15" i="4"/>
  <c r="N14" i="4"/>
  <c r="N13" i="4"/>
  <c r="N12" i="4"/>
  <c r="N11" i="4"/>
  <c r="N9" i="4"/>
  <c r="O24" i="1"/>
  <c r="O42" i="1"/>
  <c r="N49" i="4" l="1"/>
  <c r="N36" i="4"/>
  <c r="O9" i="4"/>
  <c r="N68" i="1"/>
  <c r="N69" i="1" s="1"/>
  <c r="N38" i="1"/>
  <c r="O36" i="1"/>
  <c r="O30" i="2"/>
  <c r="O41" i="2"/>
  <c r="O46" i="2"/>
  <c r="O67" i="1"/>
  <c r="O58" i="1"/>
  <c r="O50" i="1"/>
  <c r="O33" i="1"/>
  <c r="O20" i="1"/>
  <c r="O14" i="1"/>
  <c r="P55" i="3"/>
  <c r="P57" i="3" s="1"/>
  <c r="P46" i="3"/>
  <c r="P37" i="3"/>
  <c r="P13" i="3"/>
  <c r="P9" i="3"/>
  <c r="O37" i="1" l="1"/>
  <c r="O58" i="4"/>
  <c r="O68" i="1"/>
  <c r="O69" i="1" s="1"/>
  <c r="O26" i="1"/>
  <c r="P15" i="3"/>
  <c r="O38" i="1" l="1"/>
  <c r="P18" i="3"/>
  <c r="P20" i="3" s="1"/>
  <c r="P42" i="4" l="1"/>
  <c r="P10" i="4"/>
  <c r="P60" i="4" l="1"/>
  <c r="P59" i="4"/>
  <c r="O54" i="4" l="1"/>
  <c r="O47" i="4"/>
  <c r="O46" i="4"/>
  <c r="O45" i="4"/>
  <c r="O44" i="4"/>
  <c r="O43" i="4"/>
  <c r="O41" i="4"/>
  <c r="O40" i="4"/>
  <c r="O39" i="4"/>
  <c r="O38" i="4"/>
  <c r="O34" i="4"/>
  <c r="O31" i="4"/>
  <c r="P42" i="1"/>
  <c r="O49" i="4" l="1"/>
  <c r="P41" i="2"/>
  <c r="O23" i="4" l="1"/>
  <c r="O12" i="4"/>
  <c r="O21" i="4" l="1"/>
  <c r="O11" i="4"/>
  <c r="O33" i="4" l="1"/>
  <c r="O16" i="4"/>
  <c r="P14" i="1" l="1"/>
  <c r="P58" i="1"/>
  <c r="P33" i="1"/>
  <c r="P67" i="1"/>
  <c r="O29" i="4"/>
  <c r="O30" i="4"/>
  <c r="O24" i="4"/>
  <c r="O14" i="4"/>
  <c r="P68" i="1" l="1"/>
  <c r="P20" i="1"/>
  <c r="P36" i="1"/>
  <c r="P46" i="2"/>
  <c r="P24" i="1"/>
  <c r="O13" i="4"/>
  <c r="P26" i="1" l="1"/>
  <c r="P37" i="1"/>
  <c r="P58" i="4"/>
  <c r="O28" i="4"/>
  <c r="O36" i="4" s="1"/>
  <c r="P38" i="1" l="1"/>
  <c r="P30" i="2"/>
  <c r="O22" i="4"/>
  <c r="O15" i="4" l="1"/>
  <c r="O17" i="4" l="1"/>
  <c r="P50" i="1" l="1"/>
  <c r="P69" i="1" s="1"/>
  <c r="Q55" i="3" l="1"/>
  <c r="Q57" i="3" s="1"/>
  <c r="Q46" i="3"/>
  <c r="Q37" i="3"/>
  <c r="Q13" i="3" l="1"/>
  <c r="Q9" i="3"/>
  <c r="R46" i="4"/>
  <c r="R45" i="4"/>
  <c r="Q42" i="4"/>
  <c r="Q10" i="4"/>
  <c r="Q60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Q47" i="2"/>
  <c r="Q59" i="4" s="1"/>
  <c r="Q46" i="2"/>
  <c r="Q24" i="1"/>
  <c r="Q42" i="1"/>
  <c r="AK42" i="3"/>
  <c r="AL42" i="3"/>
  <c r="Q28" i="4" l="1"/>
  <c r="P28" i="4"/>
  <c r="Q14" i="4"/>
  <c r="P14" i="4"/>
  <c r="Q29" i="4"/>
  <c r="P29" i="4"/>
  <c r="Q41" i="4"/>
  <c r="P41" i="4"/>
  <c r="Q15" i="4"/>
  <c r="P15" i="4"/>
  <c r="Q30" i="4"/>
  <c r="P30" i="4"/>
  <c r="Q43" i="4"/>
  <c r="P43" i="4"/>
  <c r="Q40" i="4"/>
  <c r="P40" i="4"/>
  <c r="Q16" i="4"/>
  <c r="P16" i="4"/>
  <c r="Q31" i="4"/>
  <c r="P31" i="4"/>
  <c r="Q44" i="4"/>
  <c r="P44" i="4"/>
  <c r="Q21" i="4"/>
  <c r="P21" i="4"/>
  <c r="Q33" i="4"/>
  <c r="P33" i="4"/>
  <c r="Q45" i="4"/>
  <c r="P45" i="4"/>
  <c r="Q47" i="4"/>
  <c r="P47" i="4"/>
  <c r="Q13" i="4"/>
  <c r="P13" i="4"/>
  <c r="Q9" i="4"/>
  <c r="P9" i="4"/>
  <c r="Q22" i="4"/>
  <c r="P22" i="4"/>
  <c r="Q34" i="4"/>
  <c r="P34" i="4"/>
  <c r="Q46" i="4"/>
  <c r="P46" i="4"/>
  <c r="Q54" i="4"/>
  <c r="P54" i="4"/>
  <c r="Q11" i="4"/>
  <c r="P11" i="4"/>
  <c r="Q23" i="4"/>
  <c r="P23" i="4"/>
  <c r="Q38" i="4"/>
  <c r="P38" i="4"/>
  <c r="Q12" i="4"/>
  <c r="P12" i="4"/>
  <c r="Q24" i="4"/>
  <c r="P24" i="4"/>
  <c r="Q39" i="4"/>
  <c r="P39" i="4"/>
  <c r="Q15" i="3"/>
  <c r="Q58" i="4"/>
  <c r="Q41" i="2"/>
  <c r="Q30" i="2"/>
  <c r="Q67" i="1"/>
  <c r="Q58" i="1"/>
  <c r="Q36" i="1"/>
  <c r="Q33" i="1"/>
  <c r="Q20" i="1"/>
  <c r="Q14" i="1"/>
  <c r="R55" i="3"/>
  <c r="R57" i="3" s="1"/>
  <c r="R37" i="3"/>
  <c r="R46" i="3"/>
  <c r="R13" i="3"/>
  <c r="R9" i="3"/>
  <c r="AX13" i="3"/>
  <c r="AX15" i="3" s="1"/>
  <c r="AW13" i="3"/>
  <c r="AW15" i="3" s="1"/>
  <c r="AV13" i="3"/>
  <c r="AV15" i="3" s="1"/>
  <c r="AU13" i="3"/>
  <c r="AU15" i="3" s="1"/>
  <c r="AT13" i="3"/>
  <c r="AT15" i="3" s="1"/>
  <c r="AS13" i="3"/>
  <c r="AS15" i="3" s="1"/>
  <c r="AR13" i="3"/>
  <c r="AR15" i="3" s="1"/>
  <c r="AQ13" i="3"/>
  <c r="AQ15" i="3" s="1"/>
  <c r="AP13" i="3"/>
  <c r="AP15" i="3" s="1"/>
  <c r="AO13" i="3"/>
  <c r="AO15" i="3" s="1"/>
  <c r="AN13" i="3"/>
  <c r="AN15" i="3" s="1"/>
  <c r="AM13" i="3"/>
  <c r="AM15" i="3" s="1"/>
  <c r="AL13" i="3"/>
  <c r="AL15" i="3" s="1"/>
  <c r="AK13" i="3"/>
  <c r="AK15" i="3" s="1"/>
  <c r="AJ13" i="3"/>
  <c r="AJ15" i="3" s="1"/>
  <c r="AI13" i="3"/>
  <c r="AI15" i="3" s="1"/>
  <c r="AH13" i="3"/>
  <c r="AH15" i="3" s="1"/>
  <c r="AG13" i="3"/>
  <c r="AG15" i="3" s="1"/>
  <c r="AF13" i="3"/>
  <c r="AF15" i="3" s="1"/>
  <c r="AE13" i="3"/>
  <c r="AE15" i="3" s="1"/>
  <c r="R47" i="2"/>
  <c r="R59" i="4" s="1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R60" i="4"/>
  <c r="R42" i="4"/>
  <c r="R10" i="4"/>
  <c r="R29" i="2"/>
  <c r="R30" i="2" s="1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R46" i="2"/>
  <c r="R9" i="4"/>
  <c r="R11" i="4"/>
  <c r="R12" i="4"/>
  <c r="R13" i="4"/>
  <c r="R14" i="4"/>
  <c r="R15" i="4"/>
  <c r="R16" i="4"/>
  <c r="R17" i="4"/>
  <c r="R21" i="4"/>
  <c r="R22" i="4"/>
  <c r="R23" i="4"/>
  <c r="R24" i="4"/>
  <c r="R29" i="4"/>
  <c r="R31" i="4"/>
  <c r="R33" i="4"/>
  <c r="R38" i="4"/>
  <c r="R39" i="4"/>
  <c r="R40" i="4"/>
  <c r="R41" i="4"/>
  <c r="R34" i="4" l="1"/>
  <c r="Q49" i="4"/>
  <c r="Q36" i="4"/>
  <c r="P49" i="4"/>
  <c r="P36" i="4"/>
  <c r="Q18" i="3"/>
  <c r="Q20" i="3" s="1"/>
  <c r="R15" i="3"/>
  <c r="Q7" i="2" s="1"/>
  <c r="Q7" i="4" s="1"/>
  <c r="S30" i="2"/>
  <c r="Q68" i="1"/>
  <c r="Q37" i="1"/>
  <c r="Q26" i="1"/>
  <c r="R58" i="4"/>
  <c r="R30" i="4"/>
  <c r="R36" i="4" s="1"/>
  <c r="R41" i="2"/>
  <c r="O7" i="2" l="1"/>
  <c r="O17" i="2" s="1"/>
  <c r="O22" i="2" s="1"/>
  <c r="O42" i="2" s="1"/>
  <c r="N7" i="2"/>
  <c r="P7" i="2"/>
  <c r="P17" i="2" s="1"/>
  <c r="P22" i="2" s="1"/>
  <c r="P42" i="2" s="1"/>
  <c r="R18" i="3"/>
  <c r="R20" i="3" s="1"/>
  <c r="Q38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Z67" i="1"/>
  <c r="V67" i="1"/>
  <c r="N17" i="2" l="1"/>
  <c r="N22" i="2" s="1"/>
  <c r="N42" i="2" s="1"/>
  <c r="N7" i="4"/>
  <c r="N19" i="4" s="1"/>
  <c r="N26" i="4" s="1"/>
  <c r="N51" i="4" s="1"/>
  <c r="O7" i="4"/>
  <c r="O19" i="4" s="1"/>
  <c r="O26" i="4" s="1"/>
  <c r="O51" i="4" s="1"/>
  <c r="P7" i="4"/>
  <c r="R67" i="1"/>
  <c r="R58" i="1"/>
  <c r="R50" i="1"/>
  <c r="R42" i="1"/>
  <c r="R36" i="1"/>
  <c r="R33" i="1"/>
  <c r="R24" i="1"/>
  <c r="R20" i="1"/>
  <c r="R14" i="1"/>
  <c r="R68" i="1" l="1"/>
  <c r="R69" i="1" s="1"/>
  <c r="R37" i="1"/>
  <c r="R26" i="1"/>
  <c r="S60" i="4"/>
  <c r="S42" i="4"/>
  <c r="S10" i="4"/>
  <c r="S59" i="4"/>
  <c r="R54" i="4"/>
  <c r="R47" i="4"/>
  <c r="R44" i="4"/>
  <c r="R43" i="4"/>
  <c r="S24" i="1"/>
  <c r="S42" i="1"/>
  <c r="R49" i="4" l="1"/>
  <c r="T13" i="3"/>
  <c r="S67" i="1"/>
  <c r="S58" i="1"/>
  <c r="R38" i="1"/>
  <c r="S14" i="1"/>
  <c r="S41" i="2"/>
  <c r="S36" i="1"/>
  <c r="T46" i="3"/>
  <c r="S46" i="2"/>
  <c r="T37" i="3"/>
  <c r="S33" i="1"/>
  <c r="S50" i="1"/>
  <c r="S20" i="1"/>
  <c r="T55" i="3"/>
  <c r="T57" i="3" s="1"/>
  <c r="T9" i="3"/>
  <c r="S68" i="1" l="1"/>
  <c r="S69" i="1" s="1"/>
  <c r="T15" i="3"/>
  <c r="S26" i="1"/>
  <c r="S37" i="1"/>
  <c r="S58" i="4"/>
  <c r="T42" i="4"/>
  <c r="T10" i="4"/>
  <c r="T60" i="4"/>
  <c r="T47" i="2"/>
  <c r="T59" i="4" s="1"/>
  <c r="S54" i="4"/>
  <c r="S47" i="4"/>
  <c r="S44" i="4"/>
  <c r="S43" i="4"/>
  <c r="S41" i="4"/>
  <c r="S40" i="4"/>
  <c r="S39" i="4"/>
  <c r="S38" i="4"/>
  <c r="S34" i="4"/>
  <c r="S33" i="4"/>
  <c r="S31" i="4"/>
  <c r="S30" i="4"/>
  <c r="S24" i="4"/>
  <c r="S17" i="4"/>
  <c r="S23" i="4"/>
  <c r="S22" i="4"/>
  <c r="S21" i="4"/>
  <c r="S16" i="4"/>
  <c r="S15" i="4"/>
  <c r="S14" i="4"/>
  <c r="S13" i="4"/>
  <c r="S12" i="4"/>
  <c r="S9" i="4"/>
  <c r="S11" i="4"/>
  <c r="T46" i="2"/>
  <c r="T24" i="1"/>
  <c r="T42" i="1"/>
  <c r="S38" i="1" l="1"/>
  <c r="T30" i="2"/>
  <c r="T67" i="1"/>
  <c r="U13" i="3"/>
  <c r="T18" i="3"/>
  <c r="T20" i="3" s="1"/>
  <c r="S29" i="4"/>
  <c r="S36" i="4" s="1"/>
  <c r="S49" i="4"/>
  <c r="T36" i="1"/>
  <c r="T58" i="4"/>
  <c r="T41" i="2"/>
  <c r="T58" i="1"/>
  <c r="T50" i="1"/>
  <c r="T33" i="1"/>
  <c r="T20" i="1"/>
  <c r="T14" i="1"/>
  <c r="T37" i="1" l="1"/>
  <c r="T68" i="1"/>
  <c r="T69" i="1" s="1"/>
  <c r="T26" i="1"/>
  <c r="T38" i="1" l="1"/>
  <c r="U55" i="3" l="1"/>
  <c r="U57" i="3" s="1"/>
  <c r="U46" i="3"/>
  <c r="U37" i="3"/>
  <c r="U9" i="3"/>
  <c r="U15" i="3" s="1"/>
  <c r="U18" i="3" l="1"/>
  <c r="U20" i="3" s="1"/>
  <c r="U47" i="2" l="1"/>
  <c r="U59" i="4" s="1"/>
  <c r="U42" i="4"/>
  <c r="U10" i="4"/>
  <c r="AG40" i="4"/>
  <c r="AF40" i="4"/>
  <c r="AE40" i="4"/>
  <c r="AD40" i="4"/>
  <c r="AC40" i="4"/>
  <c r="AB40" i="4"/>
  <c r="AA40" i="4"/>
  <c r="Z40" i="4"/>
  <c r="Y40" i="4"/>
  <c r="X40" i="4"/>
  <c r="W40" i="4"/>
  <c r="V40" i="4"/>
  <c r="U60" i="4"/>
  <c r="U46" i="2"/>
  <c r="U24" i="1"/>
  <c r="U42" i="1"/>
  <c r="U67" i="1" l="1"/>
  <c r="U30" i="2"/>
  <c r="V13" i="3"/>
  <c r="U14" i="4"/>
  <c r="T14" i="4"/>
  <c r="U29" i="4"/>
  <c r="T29" i="4"/>
  <c r="U43" i="4"/>
  <c r="T43" i="4"/>
  <c r="U13" i="4"/>
  <c r="T13" i="4"/>
  <c r="U15" i="4"/>
  <c r="T15" i="4"/>
  <c r="U30" i="4"/>
  <c r="T30" i="4"/>
  <c r="U44" i="4"/>
  <c r="T44" i="4"/>
  <c r="U16" i="4"/>
  <c r="T16" i="4"/>
  <c r="U31" i="4"/>
  <c r="T31" i="4"/>
  <c r="U47" i="4"/>
  <c r="T47" i="4"/>
  <c r="U17" i="4"/>
  <c r="T17" i="4"/>
  <c r="U33" i="4"/>
  <c r="T33" i="4"/>
  <c r="U40" i="4"/>
  <c r="T40" i="4"/>
  <c r="U24" i="4"/>
  <c r="T24" i="4"/>
  <c r="U9" i="4"/>
  <c r="T9" i="4"/>
  <c r="U21" i="4"/>
  <c r="T21" i="4"/>
  <c r="U34" i="4"/>
  <c r="T34" i="4"/>
  <c r="U54" i="4"/>
  <c r="T54" i="4"/>
  <c r="U11" i="4"/>
  <c r="T11" i="4"/>
  <c r="U22" i="4"/>
  <c r="T22" i="4"/>
  <c r="U38" i="4"/>
  <c r="T38" i="4"/>
  <c r="U41" i="4"/>
  <c r="T41" i="4"/>
  <c r="U12" i="4"/>
  <c r="T12" i="4"/>
  <c r="U23" i="4"/>
  <c r="T23" i="4"/>
  <c r="U39" i="4"/>
  <c r="T39" i="4"/>
  <c r="U58" i="4"/>
  <c r="U41" i="2"/>
  <c r="U50" i="1"/>
  <c r="U33" i="1"/>
  <c r="U36" i="1"/>
  <c r="U58" i="1"/>
  <c r="U20" i="1"/>
  <c r="U14" i="1"/>
  <c r="U36" i="4" l="1"/>
  <c r="T36" i="4"/>
  <c r="U49" i="4"/>
  <c r="T49" i="4"/>
  <c r="U37" i="1"/>
  <c r="U68" i="1"/>
  <c r="U69" i="1" s="1"/>
  <c r="U26" i="1"/>
  <c r="U38" i="1" l="1"/>
  <c r="V55" i="3"/>
  <c r="V57" i="3" s="1"/>
  <c r="V37" i="3"/>
  <c r="V46" i="3"/>
  <c r="W67" i="1" l="1"/>
  <c r="X13" i="3"/>
  <c r="W30" i="2"/>
  <c r="V9" i="3"/>
  <c r="V15" i="3" s="1"/>
  <c r="S7" i="2" l="1"/>
  <c r="R7" i="2"/>
  <c r="T7" i="2"/>
  <c r="T17" i="2" s="1"/>
  <c r="T22" i="2" s="1"/>
  <c r="T42" i="2" s="1"/>
  <c r="V18" i="3"/>
  <c r="V20" i="3" s="1"/>
  <c r="U7" i="2"/>
  <c r="V60" i="4"/>
  <c r="V42" i="4"/>
  <c r="V47" i="2"/>
  <c r="V59" i="4" s="1"/>
  <c r="V46" i="2"/>
  <c r="V44" i="2"/>
  <c r="V29" i="2"/>
  <c r="V30" i="2" s="1"/>
  <c r="V21" i="2"/>
  <c r="V41" i="2"/>
  <c r="V58" i="1"/>
  <c r="V50" i="1"/>
  <c r="V42" i="1"/>
  <c r="V36" i="1"/>
  <c r="V33" i="1"/>
  <c r="V24" i="1"/>
  <c r="V20" i="1"/>
  <c r="V14" i="1"/>
  <c r="R7" i="4" l="1"/>
  <c r="R19" i="4" s="1"/>
  <c r="R26" i="4" s="1"/>
  <c r="R51" i="4" s="1"/>
  <c r="R17" i="2"/>
  <c r="R22" i="2" s="1"/>
  <c r="R42" i="2" s="1"/>
  <c r="T7" i="4"/>
  <c r="T19" i="4" s="1"/>
  <c r="T26" i="4" s="1"/>
  <c r="T51" i="4" s="1"/>
  <c r="S7" i="4"/>
  <c r="S19" i="4" s="1"/>
  <c r="S26" i="4" s="1"/>
  <c r="S51" i="4" s="1"/>
  <c r="S17" i="2"/>
  <c r="S22" i="2" s="1"/>
  <c r="S42" i="2" s="1"/>
  <c r="U7" i="4"/>
  <c r="U19" i="4" s="1"/>
  <c r="U26" i="4" s="1"/>
  <c r="U51" i="4" s="1"/>
  <c r="U17" i="2"/>
  <c r="U22" i="2" s="1"/>
  <c r="U42" i="2" s="1"/>
  <c r="V58" i="4"/>
  <c r="V68" i="1"/>
  <c r="V69" i="1" s="1"/>
  <c r="V37" i="1"/>
  <c r="V26" i="1"/>
  <c r="W42" i="4"/>
  <c r="V54" i="4"/>
  <c r="W60" i="4"/>
  <c r="W59" i="4"/>
  <c r="W58" i="4"/>
  <c r="V17" i="4"/>
  <c r="V47" i="4"/>
  <c r="V44" i="4"/>
  <c r="V43" i="4"/>
  <c r="V41" i="4"/>
  <c r="V39" i="4"/>
  <c r="V38" i="4"/>
  <c r="V34" i="4"/>
  <c r="V33" i="4"/>
  <c r="V31" i="4"/>
  <c r="V30" i="4"/>
  <c r="V29" i="4"/>
  <c r="V24" i="4"/>
  <c r="V23" i="4"/>
  <c r="V22" i="4"/>
  <c r="V21" i="4"/>
  <c r="V16" i="4"/>
  <c r="V15" i="4"/>
  <c r="V14" i="4"/>
  <c r="V13" i="4"/>
  <c r="V12" i="4"/>
  <c r="V11" i="4"/>
  <c r="V10" i="4"/>
  <c r="V9" i="4"/>
  <c r="W24" i="1"/>
  <c r="W42" i="1"/>
  <c r="V36" i="4" l="1"/>
  <c r="V49" i="4"/>
  <c r="W36" i="1"/>
  <c r="V38" i="1"/>
  <c r="W58" i="1"/>
  <c r="W41" i="2"/>
  <c r="W50" i="1"/>
  <c r="W33" i="1"/>
  <c r="W20" i="1"/>
  <c r="W14" i="1"/>
  <c r="W37" i="1" l="1"/>
  <c r="W68" i="1"/>
  <c r="W69" i="1" s="1"/>
  <c r="W26" i="1"/>
  <c r="W38" i="1" l="1"/>
  <c r="X55" i="3" l="1"/>
  <c r="X57" i="3" s="1"/>
  <c r="X46" i="3"/>
  <c r="X37" i="3"/>
  <c r="X9" i="3"/>
  <c r="X15" i="3" s="1"/>
  <c r="X24" i="1" l="1"/>
  <c r="X42" i="4"/>
  <c r="W54" i="4"/>
  <c r="X60" i="4"/>
  <c r="X59" i="4"/>
  <c r="X58" i="4"/>
  <c r="W47" i="4"/>
  <c r="W44" i="4"/>
  <c r="W43" i="4"/>
  <c r="W41" i="4"/>
  <c r="W39" i="4"/>
  <c r="W38" i="4"/>
  <c r="W34" i="4"/>
  <c r="W33" i="4"/>
  <c r="W31" i="4"/>
  <c r="W30" i="4"/>
  <c r="W24" i="4"/>
  <c r="W23" i="4"/>
  <c r="W22" i="4"/>
  <c r="W21" i="4"/>
  <c r="W17" i="4"/>
  <c r="W16" i="4"/>
  <c r="W15" i="4"/>
  <c r="W14" i="4"/>
  <c r="W13" i="4"/>
  <c r="W12" i="4"/>
  <c r="W11" i="4"/>
  <c r="W10" i="4"/>
  <c r="W9" i="4"/>
  <c r="X42" i="1"/>
  <c r="Y13" i="3" l="1"/>
  <c r="X30" i="2"/>
  <c r="X67" i="1"/>
  <c r="W29" i="4"/>
  <c r="W36" i="4" s="1"/>
  <c r="W49" i="4"/>
  <c r="X18" i="3"/>
  <c r="X20" i="3" s="1"/>
  <c r="X50" i="1"/>
  <c r="X33" i="1"/>
  <c r="Y9" i="3"/>
  <c r="Y15" i="3" s="1"/>
  <c r="X36" i="1"/>
  <c r="X41" i="2"/>
  <c r="X58" i="1"/>
  <c r="X20" i="1"/>
  <c r="X14" i="1"/>
  <c r="Y55" i="3"/>
  <c r="Y57" i="3" s="1"/>
  <c r="Y46" i="3"/>
  <c r="Y37" i="3"/>
  <c r="X68" i="1" l="1"/>
  <c r="X69" i="1" s="1"/>
  <c r="X37" i="1"/>
  <c r="X26" i="1"/>
  <c r="X38" i="1" l="1"/>
  <c r="Y18" i="3"/>
  <c r="Y20" i="3" s="1"/>
  <c r="Y42" i="4" l="1"/>
  <c r="AW62" i="4"/>
  <c r="AV62" i="4"/>
  <c r="AU62" i="4"/>
  <c r="AT62" i="4"/>
  <c r="AS62" i="4"/>
  <c r="AR62" i="4"/>
  <c r="AQ62" i="4"/>
  <c r="AP62" i="4"/>
  <c r="AO62" i="4"/>
  <c r="AN62" i="4"/>
  <c r="AM62" i="4"/>
  <c r="AL62" i="4"/>
  <c r="AK62" i="4"/>
  <c r="AJ62" i="4"/>
  <c r="AI62" i="4"/>
  <c r="AH62" i="4"/>
  <c r="AG60" i="4"/>
  <c r="AF60" i="4"/>
  <c r="AE60" i="4"/>
  <c r="AD60" i="4"/>
  <c r="AC60" i="4"/>
  <c r="AB60" i="4"/>
  <c r="AA60" i="4"/>
  <c r="Z60" i="4"/>
  <c r="Y60" i="4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Y30" i="2" l="1"/>
  <c r="Y10" i="4"/>
  <c r="X10" i="4"/>
  <c r="Y21" i="4"/>
  <c r="X21" i="4"/>
  <c r="Y30" i="4"/>
  <c r="X30" i="4"/>
  <c r="Y47" i="4"/>
  <c r="X47" i="4"/>
  <c r="Y34" i="4"/>
  <c r="X34" i="4"/>
  <c r="Y15" i="4"/>
  <c r="X15" i="4"/>
  <c r="Y38" i="4"/>
  <c r="X38" i="4"/>
  <c r="Y12" i="4"/>
  <c r="X12" i="4"/>
  <c r="Y16" i="4"/>
  <c r="X16" i="4"/>
  <c r="Y23" i="4"/>
  <c r="X23" i="4"/>
  <c r="Y31" i="4"/>
  <c r="X31" i="4"/>
  <c r="Y41" i="4"/>
  <c r="X41" i="4"/>
  <c r="Y39" i="4"/>
  <c r="X39" i="4"/>
  <c r="Y14" i="4"/>
  <c r="X14" i="4"/>
  <c r="Y29" i="4"/>
  <c r="X29" i="4"/>
  <c r="Y44" i="4"/>
  <c r="X44" i="4"/>
  <c r="Y11" i="4"/>
  <c r="X11" i="4"/>
  <c r="Y22" i="4"/>
  <c r="X22" i="4"/>
  <c r="Y9" i="4"/>
  <c r="X9" i="4"/>
  <c r="Y13" i="4"/>
  <c r="X13" i="4"/>
  <c r="Y17" i="4"/>
  <c r="X17" i="4"/>
  <c r="Y24" i="4"/>
  <c r="X24" i="4"/>
  <c r="Y33" i="4"/>
  <c r="X33" i="4"/>
  <c r="Y43" i="4"/>
  <c r="X43" i="4"/>
  <c r="Y54" i="4"/>
  <c r="X54" i="4"/>
  <c r="X36" i="4" l="1"/>
  <c r="Y36" i="4"/>
  <c r="Y67" i="1"/>
  <c r="X49" i="4"/>
  <c r="W50" i="3"/>
  <c r="W56" i="3"/>
  <c r="W54" i="3"/>
  <c r="W52" i="3"/>
  <c r="W45" i="3"/>
  <c r="W42" i="3"/>
  <c r="W35" i="3"/>
  <c r="W36" i="3"/>
  <c r="W34" i="3"/>
  <c r="W33" i="3"/>
  <c r="W28" i="3"/>
  <c r="W19" i="3"/>
  <c r="W17" i="3"/>
  <c r="W16" i="3"/>
  <c r="W12" i="3"/>
  <c r="W11" i="3"/>
  <c r="W8" i="3"/>
  <c r="W7" i="3"/>
  <c r="W10" i="3" l="1"/>
  <c r="Z13" i="3"/>
  <c r="W43" i="3"/>
  <c r="W46" i="3" s="1"/>
  <c r="W9" i="3"/>
  <c r="W37" i="3"/>
  <c r="W55" i="3"/>
  <c r="W57" i="3" s="1"/>
  <c r="Z9" i="3"/>
  <c r="Z55" i="3"/>
  <c r="Z57" i="3" s="1"/>
  <c r="Z46" i="3"/>
  <c r="Z37" i="3"/>
  <c r="Z15" i="3" l="1"/>
  <c r="Z18" i="3" s="1"/>
  <c r="Z20" i="3" s="1"/>
  <c r="W13" i="3"/>
  <c r="W15" i="3" s="1"/>
  <c r="Y59" i="4"/>
  <c r="Y58" i="4"/>
  <c r="Y41" i="2"/>
  <c r="Y58" i="1"/>
  <c r="Y50" i="1"/>
  <c r="Y42" i="1"/>
  <c r="Y36" i="1"/>
  <c r="Y33" i="1"/>
  <c r="Y24" i="1"/>
  <c r="Y20" i="1"/>
  <c r="Y14" i="1"/>
  <c r="Y7" i="2" l="1"/>
  <c r="Y7" i="4" s="1"/>
  <c r="W18" i="3"/>
  <c r="W20" i="3" s="1"/>
  <c r="V7" i="2"/>
  <c r="X7" i="2"/>
  <c r="X17" i="2" s="1"/>
  <c r="X22" i="2" s="1"/>
  <c r="X42" i="2" s="1"/>
  <c r="W7" i="2"/>
  <c r="Y68" i="1"/>
  <c r="Y69" i="1" s="1"/>
  <c r="Y37" i="1"/>
  <c r="Y26" i="1"/>
  <c r="Z59" i="4"/>
  <c r="Z58" i="4"/>
  <c r="Z42" i="4"/>
  <c r="Z34" i="2"/>
  <c r="Y49" i="4" s="1"/>
  <c r="Z29" i="2"/>
  <c r="Z30" i="2" s="1"/>
  <c r="Z11" i="2"/>
  <c r="Z43" i="2"/>
  <c r="Z46" i="1"/>
  <c r="Z28" i="1"/>
  <c r="Y17" i="2" l="1"/>
  <c r="Y22" i="2" s="1"/>
  <c r="Y42" i="2" s="1"/>
  <c r="X7" i="4"/>
  <c r="X19" i="4" s="1"/>
  <c r="X26" i="4" s="1"/>
  <c r="X51" i="4" s="1"/>
  <c r="V17" i="2"/>
  <c r="V22" i="2" s="1"/>
  <c r="V42" i="2" s="1"/>
  <c r="V7" i="4"/>
  <c r="V19" i="4" s="1"/>
  <c r="V26" i="4" s="1"/>
  <c r="V51" i="4" s="1"/>
  <c r="W7" i="4"/>
  <c r="W19" i="4" s="1"/>
  <c r="W26" i="4" s="1"/>
  <c r="W51" i="4" s="1"/>
  <c r="W17" i="2"/>
  <c r="W22" i="2" s="1"/>
  <c r="W42" i="2" s="1"/>
  <c r="Y38" i="1"/>
  <c r="Z41" i="2"/>
  <c r="Z58" i="1"/>
  <c r="Z50" i="1"/>
  <c r="Z42" i="1"/>
  <c r="Z36" i="1"/>
  <c r="Z33" i="1"/>
  <c r="Z24" i="1"/>
  <c r="Z20" i="1"/>
  <c r="Z14" i="1"/>
  <c r="Z37" i="1" l="1"/>
  <c r="Z26" i="1"/>
  <c r="Z68" i="1"/>
  <c r="Z69" i="1" s="1"/>
  <c r="AA42" i="4"/>
  <c r="Z14" i="4"/>
  <c r="Z38" i="4"/>
  <c r="Z34" i="4"/>
  <c r="AA59" i="4"/>
  <c r="AA58" i="4"/>
  <c r="Z54" i="4"/>
  <c r="Z47" i="4"/>
  <c r="Z44" i="4"/>
  <c r="Z43" i="4"/>
  <c r="Z41" i="4"/>
  <c r="Z39" i="4"/>
  <c r="Z33" i="4"/>
  <c r="Z31" i="4"/>
  <c r="Z30" i="4"/>
  <c r="Z24" i="4"/>
  <c r="Z23" i="4"/>
  <c r="Z22" i="4"/>
  <c r="Z21" i="4"/>
  <c r="Z17" i="4"/>
  <c r="Z16" i="4"/>
  <c r="Z15" i="4"/>
  <c r="Z13" i="4"/>
  <c r="Z12" i="4"/>
  <c r="Z11" i="4"/>
  <c r="Z10" i="4"/>
  <c r="Z9" i="4"/>
  <c r="AA43" i="2"/>
  <c r="AA24" i="1"/>
  <c r="AA42" i="1"/>
  <c r="AA34" i="3"/>
  <c r="AA67" i="1" l="1"/>
  <c r="AA30" i="2"/>
  <c r="AB13" i="3"/>
  <c r="Z29" i="4"/>
  <c r="Z36" i="4" s="1"/>
  <c r="AA58" i="1"/>
  <c r="Z49" i="4"/>
  <c r="AA41" i="2"/>
  <c r="Z38" i="1"/>
  <c r="AA36" i="1"/>
  <c r="AA50" i="1"/>
  <c r="AA33" i="1"/>
  <c r="AA20" i="1"/>
  <c r="AA14" i="1"/>
  <c r="AA68" i="1" l="1"/>
  <c r="AA69" i="1" s="1"/>
  <c r="AA37" i="1"/>
  <c r="AA26" i="1"/>
  <c r="AA38" i="1" l="1"/>
  <c r="AB55" i="3"/>
  <c r="AB57" i="3" s="1"/>
  <c r="AB37" i="3"/>
  <c r="AB9" i="3"/>
  <c r="AB15" i="3" s="1"/>
  <c r="AB46" i="3" l="1"/>
  <c r="AB42" i="4"/>
  <c r="AA22" i="4"/>
  <c r="AA34" i="4"/>
  <c r="AB59" i="4"/>
  <c r="AB58" i="4"/>
  <c r="AA54" i="4"/>
  <c r="AA47" i="4"/>
  <c r="AA44" i="4"/>
  <c r="AA43" i="4"/>
  <c r="AA41" i="4"/>
  <c r="AA39" i="4"/>
  <c r="AA38" i="4"/>
  <c r="AA33" i="4"/>
  <c r="AA31" i="4"/>
  <c r="AA30" i="4"/>
  <c r="AA24" i="4"/>
  <c r="AA23" i="4"/>
  <c r="AA21" i="4"/>
  <c r="AA17" i="4"/>
  <c r="AA16" i="4"/>
  <c r="AA15" i="4"/>
  <c r="AA14" i="4"/>
  <c r="AA13" i="4"/>
  <c r="AA12" i="4"/>
  <c r="AA11" i="4"/>
  <c r="AA10" i="4"/>
  <c r="AA9" i="4"/>
  <c r="AB43" i="2"/>
  <c r="AB30" i="2" l="1"/>
  <c r="AC13" i="3"/>
  <c r="AA29" i="4"/>
  <c r="AA36" i="4" s="1"/>
  <c r="AA49" i="4"/>
  <c r="AB18" i="3"/>
  <c r="AB20" i="3" s="1"/>
  <c r="AB41" i="2"/>
  <c r="AB24" i="1"/>
  <c r="AB42" i="1"/>
  <c r="AB67" i="1" l="1"/>
  <c r="AB58" i="1"/>
  <c r="AB20" i="1"/>
  <c r="AB50" i="1"/>
  <c r="AB14" i="1"/>
  <c r="AB36" i="1"/>
  <c r="AB33" i="1"/>
  <c r="AB68" i="1" l="1"/>
  <c r="AB69" i="1" s="1"/>
  <c r="AB26" i="1"/>
  <c r="AB37" i="1"/>
  <c r="AC55" i="3"/>
  <c r="AC57" i="3" s="1"/>
  <c r="AC46" i="3"/>
  <c r="AC37" i="3"/>
  <c r="AC9" i="3"/>
  <c r="AC15" i="3" s="1"/>
  <c r="AB38" i="1" l="1"/>
  <c r="AC42" i="4"/>
  <c r="AC43" i="2"/>
  <c r="AB54" i="4"/>
  <c r="AA28" i="3" l="1"/>
  <c r="AA56" i="3"/>
  <c r="AC34" i="4"/>
  <c r="AB34" i="4"/>
  <c r="AC38" i="4"/>
  <c r="AB38" i="4"/>
  <c r="AC22" i="4"/>
  <c r="AB22" i="4"/>
  <c r="AC54" i="4"/>
  <c r="AC11" i="4"/>
  <c r="AB11" i="4"/>
  <c r="AC18" i="3"/>
  <c r="AC20" i="3" s="1"/>
  <c r="AC59" i="4"/>
  <c r="AC24" i="1"/>
  <c r="AA19" i="3"/>
  <c r="AA17" i="3"/>
  <c r="AA16" i="3"/>
  <c r="AA12" i="3"/>
  <c r="AA11" i="3"/>
  <c r="AA8" i="3"/>
  <c r="AA7" i="3"/>
  <c r="AC42" i="1"/>
  <c r="AC30" i="2" l="1"/>
  <c r="AC67" i="1"/>
  <c r="AA10" i="3"/>
  <c r="AA13" i="3" s="1"/>
  <c r="AD13" i="3"/>
  <c r="AA35" i="3"/>
  <c r="AA45" i="3"/>
  <c r="AA42" i="3"/>
  <c r="AA50" i="3"/>
  <c r="AA36" i="3"/>
  <c r="AA52" i="3"/>
  <c r="AA33" i="3"/>
  <c r="AA43" i="3"/>
  <c r="AA54" i="3"/>
  <c r="AA9" i="3"/>
  <c r="AC33" i="1"/>
  <c r="AD9" i="3"/>
  <c r="AC10" i="4"/>
  <c r="AB10" i="4"/>
  <c r="AC23" i="4"/>
  <c r="AB23" i="4"/>
  <c r="AC12" i="4"/>
  <c r="AB12" i="4"/>
  <c r="AC16" i="4"/>
  <c r="AB16" i="4"/>
  <c r="AC24" i="4"/>
  <c r="AB24" i="4"/>
  <c r="AC33" i="4"/>
  <c r="AB33" i="4"/>
  <c r="AC44" i="4"/>
  <c r="AB44" i="4"/>
  <c r="AC13" i="4"/>
  <c r="AB13" i="4"/>
  <c r="AC17" i="4"/>
  <c r="AB17" i="4"/>
  <c r="AC29" i="4"/>
  <c r="AB29" i="4"/>
  <c r="AC39" i="4"/>
  <c r="AB39" i="4"/>
  <c r="AC47" i="4"/>
  <c r="AB47" i="4"/>
  <c r="AC15" i="4"/>
  <c r="AB15" i="4"/>
  <c r="AC31" i="4"/>
  <c r="AB31" i="4"/>
  <c r="AC43" i="4"/>
  <c r="AB43" i="4"/>
  <c r="AD37" i="3"/>
  <c r="AC9" i="4"/>
  <c r="AB9" i="4"/>
  <c r="AC14" i="4"/>
  <c r="AB14" i="4"/>
  <c r="AC21" i="4"/>
  <c r="AB21" i="4"/>
  <c r="AC30" i="4"/>
  <c r="AB30" i="4"/>
  <c r="AC41" i="4"/>
  <c r="AB41" i="4"/>
  <c r="AC58" i="1"/>
  <c r="AC14" i="1"/>
  <c r="AD55" i="3"/>
  <c r="AD57" i="3" s="1"/>
  <c r="AC20" i="1"/>
  <c r="AC50" i="1"/>
  <c r="AC58" i="4"/>
  <c r="AC36" i="1"/>
  <c r="AC41" i="2"/>
  <c r="AD46" i="3"/>
  <c r="AD59" i="4"/>
  <c r="AD58" i="4"/>
  <c r="AD42" i="4"/>
  <c r="AA15" i="3" l="1"/>
  <c r="AD15" i="3"/>
  <c r="AB36" i="4"/>
  <c r="AC36" i="4"/>
  <c r="AC68" i="1"/>
  <c r="AC69" i="1" s="1"/>
  <c r="AA37" i="3"/>
  <c r="AA46" i="3"/>
  <c r="AA55" i="3"/>
  <c r="AA57" i="3" s="1"/>
  <c r="AC37" i="1"/>
  <c r="AC49" i="4"/>
  <c r="AB49" i="4"/>
  <c r="AC26" i="1"/>
  <c r="AG39" i="4"/>
  <c r="AF39" i="4"/>
  <c r="AE42" i="4"/>
  <c r="AE59" i="4"/>
  <c r="AD54" i="4"/>
  <c r="AD38" i="4"/>
  <c r="AD47" i="4"/>
  <c r="AD11" i="4"/>
  <c r="AD44" i="4"/>
  <c r="AD43" i="4"/>
  <c r="AD41" i="4"/>
  <c r="AD34" i="4"/>
  <c r="AD33" i="4"/>
  <c r="AD31" i="4"/>
  <c r="AD30" i="4"/>
  <c r="AD29" i="4"/>
  <c r="AD24" i="4"/>
  <c r="AD23" i="4"/>
  <c r="AD22" i="4"/>
  <c r="AD21" i="4"/>
  <c r="AD17" i="4"/>
  <c r="AD16" i="4"/>
  <c r="AD15" i="4"/>
  <c r="AD14" i="4"/>
  <c r="AD13" i="4"/>
  <c r="AD12" i="4"/>
  <c r="AD10" i="4"/>
  <c r="AD9" i="4"/>
  <c r="AD36" i="4" l="1"/>
  <c r="AA18" i="3"/>
  <c r="AA20" i="3" s="1"/>
  <c r="Z7" i="2"/>
  <c r="Y19" i="4" s="1"/>
  <c r="Y26" i="4" s="1"/>
  <c r="Y51" i="4" s="1"/>
  <c r="AC38" i="1"/>
  <c r="AC7" i="2"/>
  <c r="AC7" i="4" s="1"/>
  <c r="AC19" i="4" s="1"/>
  <c r="AC26" i="4" s="1"/>
  <c r="AC51" i="4" s="1"/>
  <c r="AA7" i="2"/>
  <c r="AD18" i="3"/>
  <c r="AD20" i="3" s="1"/>
  <c r="AB7" i="2"/>
  <c r="AB17" i="2" s="1"/>
  <c r="AB22" i="2" s="1"/>
  <c r="AB42" i="2" s="1"/>
  <c r="AB45" i="2" s="1"/>
  <c r="AB49" i="2" s="1"/>
  <c r="AE39" i="4"/>
  <c r="AD39" i="4"/>
  <c r="AD49" i="4" s="1"/>
  <c r="AE58" i="4"/>
  <c r="AC17" i="2" l="1"/>
  <c r="AC22" i="2" s="1"/>
  <c r="AC42" i="2" s="1"/>
  <c r="AC45" i="2" s="1"/>
  <c r="Z7" i="4"/>
  <c r="Z19" i="4" s="1"/>
  <c r="Z26" i="4" s="1"/>
  <c r="Z51" i="4" s="1"/>
  <c r="Z17" i="2"/>
  <c r="Z22" i="2" s="1"/>
  <c r="Z42" i="2" s="1"/>
  <c r="Z45" i="2" s="1"/>
  <c r="AA7" i="4"/>
  <c r="AA19" i="4" s="1"/>
  <c r="AA26" i="4" s="1"/>
  <c r="AA51" i="4" s="1"/>
  <c r="AA17" i="2"/>
  <c r="AA22" i="2" s="1"/>
  <c r="AA42" i="2" s="1"/>
  <c r="AA45" i="2" s="1"/>
  <c r="AA49" i="2" s="1"/>
  <c r="AB7" i="4"/>
  <c r="AB19" i="4" s="1"/>
  <c r="AB26" i="4" s="1"/>
  <c r="AB51" i="4" s="1"/>
  <c r="V43" i="2" l="1"/>
  <c r="V45" i="2" s="1"/>
  <c r="X43" i="2"/>
  <c r="X45" i="2" s="1"/>
  <c r="W43" i="2"/>
  <c r="W45" i="2" s="1"/>
  <c r="Y43" i="2"/>
  <c r="Y45" i="2" s="1"/>
  <c r="Y49" i="2" s="1"/>
  <c r="Z49" i="2"/>
  <c r="AC49" i="2"/>
  <c r="S43" i="2" l="1"/>
  <c r="S45" i="2" s="1"/>
  <c r="S49" i="2" s="1"/>
  <c r="R43" i="2"/>
  <c r="R45" i="2" s="1"/>
  <c r="V49" i="2"/>
  <c r="U43" i="2"/>
  <c r="U45" i="2" s="1"/>
  <c r="T43" i="2"/>
  <c r="T45" i="2" s="1"/>
  <c r="X49" i="2"/>
  <c r="W49" i="2"/>
  <c r="AF42" i="4"/>
  <c r="AF59" i="4"/>
  <c r="AE44" i="4"/>
  <c r="AE17" i="4"/>
  <c r="AE41" i="4"/>
  <c r="AE38" i="4"/>
  <c r="AE33" i="4"/>
  <c r="AE31" i="4"/>
  <c r="AE30" i="4"/>
  <c r="AE24" i="4"/>
  <c r="AE23" i="4"/>
  <c r="AE22" i="4"/>
  <c r="AE16" i="4"/>
  <c r="AE15" i="4"/>
  <c r="AE12" i="4"/>
  <c r="AE11" i="4"/>
  <c r="N43" i="2" l="1"/>
  <c r="N45" i="2" s="1"/>
  <c r="O43" i="2"/>
  <c r="O45" i="2" s="1"/>
  <c r="Q43" i="2"/>
  <c r="P43" i="2"/>
  <c r="P45" i="2" s="1"/>
  <c r="U49" i="2"/>
  <c r="R49" i="2"/>
  <c r="T49" i="2"/>
  <c r="AF47" i="4"/>
  <c r="AE47" i="4"/>
  <c r="AF54" i="4"/>
  <c r="AE54" i="4"/>
  <c r="AF9" i="4"/>
  <c r="AE9" i="4"/>
  <c r="AF13" i="4"/>
  <c r="AE13" i="4"/>
  <c r="AF21" i="4"/>
  <c r="AE21" i="4"/>
  <c r="AF29" i="4"/>
  <c r="AE29" i="4"/>
  <c r="AF34" i="4"/>
  <c r="AE34" i="4"/>
  <c r="AF43" i="4"/>
  <c r="AE43" i="4"/>
  <c r="AF10" i="4"/>
  <c r="AE10" i="4"/>
  <c r="AF14" i="4"/>
  <c r="AE14" i="4"/>
  <c r="AF22" i="4"/>
  <c r="AF30" i="4"/>
  <c r="AF12" i="4"/>
  <c r="AF16" i="4"/>
  <c r="AF24" i="4"/>
  <c r="AF33" i="4"/>
  <c r="AF17" i="4"/>
  <c r="AF11" i="4"/>
  <c r="AF15" i="4"/>
  <c r="AF23" i="4"/>
  <c r="AF31" i="4"/>
  <c r="AF41" i="4"/>
  <c r="AF38" i="4"/>
  <c r="AF58" i="4"/>
  <c r="K43" i="2" l="1"/>
  <c r="K45" i="2" s="1"/>
  <c r="K49" i="2" s="1"/>
  <c r="J43" i="2"/>
  <c r="J45" i="2" s="1"/>
  <c r="L43" i="2"/>
  <c r="M43" i="2"/>
  <c r="M45" i="2" s="1"/>
  <c r="N49" i="2"/>
  <c r="O49" i="2"/>
  <c r="P49" i="2"/>
  <c r="AE36" i="4"/>
  <c r="AF36" i="4"/>
  <c r="AE49" i="4"/>
  <c r="G43" i="2" l="1"/>
  <c r="G45" i="2" s="1"/>
  <c r="F43" i="2"/>
  <c r="F45" i="2" s="1"/>
  <c r="C43" i="2" s="1"/>
  <c r="C45" i="2" s="1"/>
  <c r="C49" i="2" s="1"/>
  <c r="I43" i="2"/>
  <c r="H43" i="2"/>
  <c r="H45" i="2" s="1"/>
  <c r="J49" i="2"/>
  <c r="L45" i="2"/>
  <c r="M49" i="2"/>
  <c r="E43" i="2" l="1"/>
  <c r="E45" i="2" s="1"/>
  <c r="D43" i="2"/>
  <c r="D45" i="2" s="1"/>
  <c r="G49" i="2"/>
  <c r="F49" i="2"/>
  <c r="H49" i="2"/>
  <c r="L49" i="2"/>
  <c r="AG59" i="4"/>
  <c r="AG54" i="4"/>
  <c r="AG41" i="4"/>
  <c r="AG33" i="4"/>
  <c r="AG31" i="4"/>
  <c r="AG30" i="4"/>
  <c r="AG17" i="4"/>
  <c r="AG24" i="4"/>
  <c r="AG23" i="4"/>
  <c r="AG22" i="4"/>
  <c r="AG21" i="4"/>
  <c r="AG16" i="4"/>
  <c r="AG14" i="4"/>
  <c r="AG13" i="4"/>
  <c r="AG12" i="4"/>
  <c r="AG11" i="4"/>
  <c r="AG10" i="4"/>
  <c r="AG9" i="4"/>
  <c r="AG43" i="4"/>
  <c r="AG42" i="4"/>
  <c r="AG38" i="4"/>
  <c r="AG34" i="4"/>
  <c r="AG15" i="4"/>
  <c r="D49" i="2" l="1"/>
  <c r="E49" i="2"/>
  <c r="AG44" i="4"/>
  <c r="AG49" i="4" s="1"/>
  <c r="AF44" i="4"/>
  <c r="AF49" i="4" s="1"/>
  <c r="AG58" i="4"/>
  <c r="AG29" i="4"/>
  <c r="AG36" i="4" s="1"/>
  <c r="AD7" i="4" l="1"/>
  <c r="AD19" i="4" s="1"/>
  <c r="AD26" i="4" s="1"/>
  <c r="AD51" i="4" s="1"/>
  <c r="AF7" i="4" l="1"/>
  <c r="AF19" i="4" s="1"/>
  <c r="AF26" i="4" s="1"/>
  <c r="AF51" i="4" s="1"/>
  <c r="AE7" i="4"/>
  <c r="AE19" i="4" s="1"/>
  <c r="AE26" i="4" s="1"/>
  <c r="AE51" i="4" s="1"/>
  <c r="AG7" i="4"/>
  <c r="AG19" i="4" s="1"/>
  <c r="AG26" i="4" s="1"/>
  <c r="AG51" i="4" s="1"/>
  <c r="AG53" i="4" l="1"/>
  <c r="AG56" i="4" s="1"/>
  <c r="AF53" i="4" l="1"/>
  <c r="AF56" i="4" s="1"/>
  <c r="AF62" i="4" s="1"/>
  <c r="AG62" i="4"/>
  <c r="AE53" i="4" l="1"/>
  <c r="AE56" i="4" s="1"/>
  <c r="AD53" i="4" s="1"/>
  <c r="AD56" i="4" s="1"/>
  <c r="AE62" i="4" l="1"/>
  <c r="AC53" i="4"/>
  <c r="AC56" i="4" s="1"/>
  <c r="AD62" i="4"/>
  <c r="AB53" i="4" l="1"/>
  <c r="AB56" i="4" s="1"/>
  <c r="AC62" i="4"/>
  <c r="AA53" i="4" l="1"/>
  <c r="AA56" i="4" s="1"/>
  <c r="AB62" i="4"/>
  <c r="Z53" i="4" l="1"/>
  <c r="Z56" i="4" s="1"/>
  <c r="AA62" i="4"/>
  <c r="Y53" i="4" l="1"/>
  <c r="Y56" i="4" s="1"/>
  <c r="X53" i="4" s="1"/>
  <c r="X56" i="4" s="1"/>
  <c r="W53" i="4" s="1"/>
  <c r="W56" i="4" s="1"/>
  <c r="V53" i="4" s="1"/>
  <c r="V56" i="4" s="1"/>
  <c r="U53" i="4" s="1"/>
  <c r="U56" i="4" s="1"/>
  <c r="T53" i="4" s="1"/>
  <c r="T56" i="4" s="1"/>
  <c r="S53" i="4" s="1"/>
  <c r="S56" i="4" s="1"/>
  <c r="R53" i="4" s="1"/>
  <c r="R56" i="4" s="1"/>
  <c r="Q53" i="4" s="1"/>
  <c r="Z62" i="4"/>
  <c r="R62" i="4" l="1"/>
  <c r="S62" i="4"/>
  <c r="T62" i="4"/>
  <c r="U62" i="4"/>
  <c r="V62" i="4"/>
  <c r="W62" i="4"/>
  <c r="X62" i="4"/>
  <c r="Y62" i="4"/>
  <c r="Q50" i="1" l="1"/>
  <c r="Q69" i="1" s="1"/>
  <c r="P17" i="4" l="1"/>
  <c r="P19" i="4" s="1"/>
  <c r="P26" i="4" s="1"/>
  <c r="P51" i="4" s="1"/>
  <c r="Q17" i="4" l="1"/>
  <c r="Q19" i="4" s="1"/>
  <c r="Q26" i="4" s="1"/>
  <c r="Q51" i="4" s="1"/>
  <c r="Q56" i="4" s="1"/>
  <c r="P53" i="4" s="1"/>
  <c r="P56" i="4" s="1"/>
  <c r="O53" i="4" s="1"/>
  <c r="O56" i="4" s="1"/>
  <c r="N53" i="4" s="1"/>
  <c r="N56" i="4" s="1"/>
  <c r="M53" i="4" s="1"/>
  <c r="M56" i="4" s="1"/>
  <c r="L53" i="4" s="1"/>
  <c r="L56" i="4" s="1"/>
  <c r="K53" i="4" s="1"/>
  <c r="K56" i="4" s="1"/>
  <c r="J53" i="4" s="1"/>
  <c r="J56" i="4" s="1"/>
  <c r="I53" i="4" s="1"/>
  <c r="Q17" i="2"/>
  <c r="Q22" i="2" s="1"/>
  <c r="Q42" i="2" s="1"/>
  <c r="Q45" i="2" s="1"/>
  <c r="J62" i="4" l="1"/>
  <c r="K62" i="4"/>
  <c r="L62" i="4"/>
  <c r="M62" i="4"/>
  <c r="N62" i="4"/>
  <c r="O62" i="4"/>
  <c r="P62" i="4"/>
  <c r="Q62" i="4"/>
  <c r="Q49" i="2"/>
  <c r="I50" i="1" l="1"/>
  <c r="I69" i="1" s="1"/>
  <c r="H17" i="4" l="1"/>
  <c r="H19" i="4" s="1"/>
  <c r="H26" i="4" s="1"/>
  <c r="H51" i="4" s="1"/>
  <c r="I17" i="4" l="1"/>
  <c r="I19" i="4" s="1"/>
  <c r="I26" i="4" s="1"/>
  <c r="I51" i="4" s="1"/>
  <c r="I56" i="4" s="1"/>
  <c r="H53" i="4" s="1"/>
  <c r="H56" i="4" s="1"/>
  <c r="G53" i="4" s="1"/>
  <c r="G56" i="4" s="1"/>
  <c r="F53" i="4" s="1"/>
  <c r="F56" i="4" s="1"/>
  <c r="E53" i="4" s="1"/>
  <c r="E56" i="4" s="1"/>
  <c r="D53" i="4" s="1"/>
  <c r="D56" i="4" s="1"/>
  <c r="C53" i="4" s="1"/>
  <c r="C56" i="4" s="1"/>
  <c r="I17" i="2"/>
  <c r="I22" i="2" s="1"/>
  <c r="I42" i="2" s="1"/>
  <c r="I45" i="2" s="1"/>
  <c r="C62" i="4" l="1"/>
  <c r="D62" i="4"/>
  <c r="E62" i="4"/>
  <c r="F62" i="4"/>
  <c r="G62" i="4"/>
  <c r="H62" i="4"/>
  <c r="I49" i="2"/>
  <c r="I6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tc={CA4A020E-F94E-4EC5-B13C-FF3D8DE269B5}</author>
  </authors>
  <commentList>
    <comment ref="AA8" authorId="0" shapeId="0" xr:uid="{CA4A020E-F94E-4EC5-B13C-FF3D8DE269B5}">
      <text>
        <t>[Threaded comment]
Your version of Excel allows you to read this threaded comment; however, any edits to it will get removed if the file is opened in a newer version of Excel. Learn more: https://go.microsoft.com/fwlink/?linkid=870924
Comment:
    Tal ændret ifm. Q1 2019 rapportering. Der var anført ultimo i stedet for gns.</t>
      </text>
    </comment>
  </commentList>
</comments>
</file>

<file path=xl/sharedStrings.xml><?xml version="1.0" encoding="utf-8"?>
<sst xmlns="http://schemas.openxmlformats.org/spreadsheetml/2006/main" count="458" uniqueCount="283">
  <si>
    <t>DKK million</t>
  </si>
  <si>
    <t>31/12 2013</t>
  </si>
  <si>
    <t>30/9 2013</t>
  </si>
  <si>
    <t>30/6 2013</t>
  </si>
  <si>
    <t>31/3 2013</t>
  </si>
  <si>
    <t>31/12 2012</t>
  </si>
  <si>
    <t>30/9 2012</t>
  </si>
  <si>
    <t>30/6 2012</t>
  </si>
  <si>
    <t>31/3 2012</t>
  </si>
  <si>
    <t>Assets</t>
  </si>
  <si>
    <t>Software</t>
  </si>
  <si>
    <t>Intangible assets in progress</t>
  </si>
  <si>
    <t>Intangible assets</t>
  </si>
  <si>
    <t>Land and buildings</t>
  </si>
  <si>
    <t>Leasehold improvements</t>
  </si>
  <si>
    <t>Plant and machinery</t>
  </si>
  <si>
    <t>Assets under construction</t>
  </si>
  <si>
    <t>Property, plant and equipment</t>
  </si>
  <si>
    <t>Other receivables</t>
  </si>
  <si>
    <t>Financial assets</t>
  </si>
  <si>
    <t>Deferred tax assets</t>
  </si>
  <si>
    <t>Total non-current assets</t>
  </si>
  <si>
    <t>Inventories</t>
  </si>
  <si>
    <t>Trade receivables</t>
  </si>
  <si>
    <t>Tax receivables</t>
  </si>
  <si>
    <t>Prepayments</t>
  </si>
  <si>
    <t>Receivables</t>
  </si>
  <si>
    <t>Securities</t>
  </si>
  <si>
    <t>Cash and cash equivalents</t>
  </si>
  <si>
    <t>Securites, cash and cash equivalents</t>
  </si>
  <si>
    <t>Total current assets</t>
  </si>
  <si>
    <t>Total assets</t>
  </si>
  <si>
    <t>Equity and liabilities</t>
  </si>
  <si>
    <t>Share capital</t>
  </si>
  <si>
    <t>Retained earnings</t>
  </si>
  <si>
    <t>Other reserves</t>
  </si>
  <si>
    <t>Equity</t>
  </si>
  <si>
    <t>Provisions</t>
  </si>
  <si>
    <t>Credit institutions</t>
  </si>
  <si>
    <t>Non-current liabilities</t>
  </si>
  <si>
    <t>Prepayment from customers</t>
  </si>
  <si>
    <t>Trade payables</t>
  </si>
  <si>
    <t>Company tax</t>
  </si>
  <si>
    <t>Other liabilities</t>
  </si>
  <si>
    <t>Current liabilities</t>
  </si>
  <si>
    <t>Total liabilities</t>
  </si>
  <si>
    <t>Total equity and liabilities</t>
  </si>
  <si>
    <t>1/1-31/12 2013</t>
  </si>
  <si>
    <t>1/1-30/9 2013</t>
  </si>
  <si>
    <t>1/1-30/6 2013</t>
  </si>
  <si>
    <t>1/1-31/3 2013</t>
  </si>
  <si>
    <t>1/1-31/12 2012</t>
  </si>
  <si>
    <t>1/1-30/9 2012</t>
  </si>
  <si>
    <t>1/1-30/6 2012</t>
  </si>
  <si>
    <t>1/1-31/3 2012</t>
  </si>
  <si>
    <t>Income before interest and tax (EBIT)</t>
  </si>
  <si>
    <t>Depreciation, amortization and impairment losses</t>
  </si>
  <si>
    <t>Share-based payment</t>
  </si>
  <si>
    <t>Adjustment for other non-cash items</t>
  </si>
  <si>
    <t>Changes in inventories</t>
  </si>
  <si>
    <t>Changes in receivables</t>
  </si>
  <si>
    <t>Changes in provisions</t>
  </si>
  <si>
    <t>Changes in current liabilities</t>
  </si>
  <si>
    <t>Cash flow from operations (operating activities)</t>
  </si>
  <si>
    <t>Received financial income</t>
  </si>
  <si>
    <t>Paid financial expenses</t>
  </si>
  <si>
    <t>Paid corporation taxes</t>
  </si>
  <si>
    <t>Cash flow from operating activities</t>
  </si>
  <si>
    <t>Investments in property, plant and equipment</t>
  </si>
  <si>
    <t>Disposal of property, plant and equipment</t>
  </si>
  <si>
    <t>Investments in/disposal of financial assets</t>
  </si>
  <si>
    <t>Investments in/disposal of securities</t>
  </si>
  <si>
    <t>Cash flow from investment activities</t>
  </si>
  <si>
    <t>Repurchase of stock options in subsidiary</t>
  </si>
  <si>
    <t>Cash flow from financing activities</t>
  </si>
  <si>
    <t>Cash flow of the period</t>
  </si>
  <si>
    <t>Cash as of 1 January</t>
  </si>
  <si>
    <t>Currency adjustments 1 January</t>
  </si>
  <si>
    <t>Cash end of period</t>
  </si>
  <si>
    <t>Securities - highly liquid bonds</t>
  </si>
  <si>
    <t>Credit lines</t>
  </si>
  <si>
    <t>Cash preparedness</t>
  </si>
  <si>
    <t>Bavarian Nordic Group</t>
  </si>
  <si>
    <t>Note</t>
  </si>
  <si>
    <t>Revenue</t>
  </si>
  <si>
    <t>Production costs</t>
  </si>
  <si>
    <t>Gross profit</t>
  </si>
  <si>
    <t>Research and development costs</t>
  </si>
  <si>
    <t>Total operating costs</t>
  </si>
  <si>
    <t>Income before company tax</t>
  </si>
  <si>
    <t>Tax on income for the period</t>
  </si>
  <si>
    <t>Net profit for the period</t>
  </si>
  <si>
    <t>Contract work</t>
  </si>
  <si>
    <t>Contract costs</t>
  </si>
  <si>
    <t>Other production costs</t>
  </si>
  <si>
    <t>Hereof:</t>
  </si>
  <si>
    <t>Contract costs recognized as production costs</t>
  </si>
  <si>
    <t>Capitalized development costs</t>
  </si>
  <si>
    <t>1. Revenue</t>
  </si>
  <si>
    <t>2. Production costs</t>
  </si>
  <si>
    <t>3. Research and development costs</t>
  </si>
  <si>
    <t>Q4 2013</t>
  </si>
  <si>
    <t>Q4 2012</t>
  </si>
  <si>
    <t>Q3 2013</t>
  </si>
  <si>
    <t>Q2 2013</t>
  </si>
  <si>
    <t>Q1 2013</t>
  </si>
  <si>
    <t>Q3 2012</t>
  </si>
  <si>
    <t>Q2 2012</t>
  </si>
  <si>
    <t>Q1 2012</t>
  </si>
  <si>
    <t>Research and development costs occured in the period</t>
  </si>
  <si>
    <t>Q1 2014</t>
  </si>
  <si>
    <t>31/3 2014</t>
  </si>
  <si>
    <t>1/1-31/3 2014</t>
  </si>
  <si>
    <t>Cash beginning of period</t>
  </si>
  <si>
    <t>Currency adjustments beginning of period</t>
  </si>
  <si>
    <t>Q2 2014</t>
  </si>
  <si>
    <t>Proceeds through issue of new shares (warrants)</t>
  </si>
  <si>
    <t>30/6 2014</t>
  </si>
  <si>
    <t>1/1-30/6 2014</t>
  </si>
  <si>
    <t>Q3 2014</t>
  </si>
  <si>
    <t>30/9 2014</t>
  </si>
  <si>
    <t>1/1-30/9 2014</t>
  </si>
  <si>
    <t>Q4 2014</t>
  </si>
  <si>
    <t>31/12 2014</t>
  </si>
  <si>
    <t>Other fixtures and fittings, other plant and equipment</t>
  </si>
  <si>
    <t>1/1-31/12 2014</t>
  </si>
  <si>
    <t>Cost related to issue of new shares</t>
  </si>
  <si>
    <r>
      <t xml:space="preserve">Exchange rate adjustments intercompany accounts </t>
    </r>
    <r>
      <rPr>
        <vertAlign val="superscript"/>
        <sz val="10"/>
        <rFont val="Trebuchet MS"/>
        <family val="2"/>
      </rPr>
      <t>1)</t>
    </r>
  </si>
  <si>
    <r>
      <rPr>
        <vertAlign val="superscript"/>
        <sz val="10"/>
        <rFont val="Trebuchet MS"/>
        <family val="2"/>
      </rPr>
      <t>1)</t>
    </r>
    <r>
      <rPr>
        <sz val="10"/>
        <rFont val="Trebuchet MS"/>
        <family val="2"/>
      </rPr>
      <t xml:space="preserve"> As from Q4 2014 exchange rate adjustments related to intercompany accounts are included in 'Change in current liabilities'</t>
    </r>
  </si>
  <si>
    <t>Q1 2015</t>
  </si>
  <si>
    <t>Other product sale</t>
  </si>
  <si>
    <t>31/3 2015</t>
  </si>
  <si>
    <t>Development projects</t>
  </si>
  <si>
    <t>1/1-31/3 2015</t>
  </si>
  <si>
    <t>Q2 2015</t>
  </si>
  <si>
    <t>30/6 2015</t>
  </si>
  <si>
    <t>1/1-30/6 2015</t>
  </si>
  <si>
    <t>Q3 2015</t>
  </si>
  <si>
    <t>Unaudited Condensed Consolidated Income Statement</t>
  </si>
  <si>
    <t>Notes to the Unaudited Condensed Consolidated Income Statement</t>
  </si>
  <si>
    <t>Unaudited Condensed Consolidated Statement of Financial Position</t>
  </si>
  <si>
    <t>Unaudited Condensed Consolidated Statement of Cash Flow</t>
  </si>
  <si>
    <t>30/9 2015</t>
  </si>
  <si>
    <t>1/1-30/9 2015</t>
  </si>
  <si>
    <t>Changes in development projects for sale</t>
  </si>
  <si>
    <t>Q4 2015</t>
  </si>
  <si>
    <t>31/12 2015</t>
  </si>
  <si>
    <t>1/1-31/12 2015</t>
  </si>
  <si>
    <t>Q1 2016</t>
  </si>
  <si>
    <t>31/3 2016</t>
  </si>
  <si>
    <t>1/1-31/3 2016</t>
  </si>
  <si>
    <t>Q2 2016</t>
  </si>
  <si>
    <t>30/6 2016</t>
  </si>
  <si>
    <t>Treasury shares</t>
  </si>
  <si>
    <t>1/1-30/6 2016</t>
  </si>
  <si>
    <t>Purchase of treasury shares</t>
  </si>
  <si>
    <t>Q3 2016</t>
  </si>
  <si>
    <t>30/9 2016</t>
  </si>
  <si>
    <t>1/1-30/9 2016</t>
  </si>
  <si>
    <t>Q4 2016</t>
  </si>
  <si>
    <t>31/12 2016</t>
  </si>
  <si>
    <t>1/1-31/12 2016</t>
  </si>
  <si>
    <t>Q1 2017</t>
  </si>
  <si>
    <t>31/3 2017</t>
  </si>
  <si>
    <t>1/1-31/3 2017</t>
  </si>
  <si>
    <t>Q2 2017</t>
  </si>
  <si>
    <t>30/6 2017</t>
  </si>
  <si>
    <t>1/1-30/6 2017</t>
  </si>
  <si>
    <t>Q3 2017</t>
  </si>
  <si>
    <t>30/9 2017</t>
  </si>
  <si>
    <t>1/1-30/9 2017</t>
  </si>
  <si>
    <t>Q4 2017</t>
  </si>
  <si>
    <t>31/12 2017</t>
  </si>
  <si>
    <t>1/1-31/12 2017</t>
  </si>
  <si>
    <t>Q1 2018</t>
  </si>
  <si>
    <t>31/3 2018</t>
  </si>
  <si>
    <t>1/1-31/3 2018</t>
  </si>
  <si>
    <t>Proceeds from loans</t>
  </si>
  <si>
    <t>Repo transactions loan</t>
  </si>
  <si>
    <t>Average number of shares</t>
  </si>
  <si>
    <t>Thousand shares</t>
  </si>
  <si>
    <t>Payment on loans</t>
  </si>
  <si>
    <t>Q2 2018</t>
  </si>
  <si>
    <t>30/6 2018</t>
  </si>
  <si>
    <t>1/1-30/6 2018</t>
  </si>
  <si>
    <t>Q3 2018</t>
  </si>
  <si>
    <t>30/9 2018</t>
  </si>
  <si>
    <t>1/1-30/9 2018</t>
  </si>
  <si>
    <t>Average number of shares - year to date</t>
  </si>
  <si>
    <t>Q4 2018</t>
  </si>
  <si>
    <t>31/12 2018</t>
  </si>
  <si>
    <t>1/1-31/12 2018</t>
  </si>
  <si>
    <t>Q1 2019</t>
  </si>
  <si>
    <t>31/3 2019</t>
  </si>
  <si>
    <t>Right-of-use assets</t>
  </si>
  <si>
    <t>Lease liabilities</t>
  </si>
  <si>
    <t>1/1-31/3 2019</t>
  </si>
  <si>
    <t>Repayment of lease liabilities</t>
  </si>
  <si>
    <t>MVA-BN smallpox, development results</t>
  </si>
  <si>
    <t>MVA-BN smallpox development project</t>
  </si>
  <si>
    <t>Expensing (amortization) of MVA-BN smallpox development project</t>
  </si>
  <si>
    <t>Expensing (amortization) of prior-year costs attributable to the MVA-BN smallpox development project</t>
  </si>
  <si>
    <t>Q2 2019</t>
  </si>
  <si>
    <t>30/6 2019</t>
  </si>
  <si>
    <t>1/1-30/6 2019</t>
  </si>
  <si>
    <t>Q3 2019</t>
  </si>
  <si>
    <t>30/9 2019</t>
  </si>
  <si>
    <t>1/1-30/9 2019</t>
  </si>
  <si>
    <t>Q4 2019</t>
  </si>
  <si>
    <t>31/12 2019</t>
  </si>
  <si>
    <t>Deferred consideration for product rights</t>
  </si>
  <si>
    <t>1/1-31/12 2019</t>
  </si>
  <si>
    <t>Investments in product rights</t>
  </si>
  <si>
    <t>Investments in other intangible assets</t>
  </si>
  <si>
    <t>Sales and distribution costs</t>
  </si>
  <si>
    <t>Q1 2020</t>
  </si>
  <si>
    <t>Other operating income</t>
  </si>
  <si>
    <t>Rabipur/RabAvert</t>
  </si>
  <si>
    <t>Encepur</t>
  </si>
  <si>
    <t>Cost of goods sold</t>
  </si>
  <si>
    <t>Amortization product rights</t>
  </si>
  <si>
    <t>31/3 2020</t>
  </si>
  <si>
    <t>Acquired product rights/licenses (licenses 2012-2014)</t>
  </si>
  <si>
    <t>1/1-31/3 2020</t>
  </si>
  <si>
    <t>Proceeds from capital increase</t>
  </si>
  <si>
    <t>- hereof accrued costs</t>
  </si>
  <si>
    <t>Sale of preemptive rights - treasury shares</t>
  </si>
  <si>
    <t>Q2 2020</t>
  </si>
  <si>
    <t>30/6 2020</t>
  </si>
  <si>
    <t>1/1-30/6 2020</t>
  </si>
  <si>
    <t>Financial income</t>
  </si>
  <si>
    <t>Financial expenses</t>
  </si>
  <si>
    <t>Administrative costs</t>
  </si>
  <si>
    <t>Q3 2020</t>
  </si>
  <si>
    <t>Milestone payments</t>
  </si>
  <si>
    <t>30/9 2020</t>
  </si>
  <si>
    <t>1/1-30/9 2020</t>
  </si>
  <si>
    <t>Q4 2020</t>
  </si>
  <si>
    <t>31/12 2020</t>
  </si>
  <si>
    <t>1/1-31/12 2020</t>
  </si>
  <si>
    <t>Q1 2021</t>
  </si>
  <si>
    <t>1/1-31/3 2021</t>
  </si>
  <si>
    <t>31/3 2021</t>
  </si>
  <si>
    <t>Q2 2021</t>
  </si>
  <si>
    <t>30/6 2021</t>
  </si>
  <si>
    <t>1/1-30/6 2021</t>
  </si>
  <si>
    <t>Q3 2021</t>
  </si>
  <si>
    <t>30/9 2021</t>
  </si>
  <si>
    <t>Acquired patents and licenses/Acquired rights and development in progress (from Q3 2021)</t>
  </si>
  <si>
    <t>1/1-30/9 2021</t>
  </si>
  <si>
    <t>Q4 2021</t>
  </si>
  <si>
    <t>31/12 2021</t>
  </si>
  <si>
    <t>Prepayment and loan from Government</t>
  </si>
  <si>
    <t>1/1-31/12 2021</t>
  </si>
  <si>
    <t>Q1 2022</t>
  </si>
  <si>
    <t>31/3 2022</t>
  </si>
  <si>
    <t>1/1-31/3 2022</t>
  </si>
  <si>
    <t>Q2 2022</t>
  </si>
  <si>
    <t>MVA-BN smallpox/monkeypox vaccine sale</t>
  </si>
  <si>
    <t>30/6 2022</t>
  </si>
  <si>
    <t>1/1-30/6 2022</t>
  </si>
  <si>
    <t>Q3 2022</t>
  </si>
  <si>
    <t>30/9 2022</t>
  </si>
  <si>
    <t>1/1-30/9 2022</t>
  </si>
  <si>
    <t>Q4 2022</t>
  </si>
  <si>
    <t>31/12 2022</t>
  </si>
  <si>
    <t>1/1-31/12 2022</t>
  </si>
  <si>
    <t>Q1 2023</t>
  </si>
  <si>
    <t>31/3 2023</t>
  </si>
  <si>
    <t>1/1-31/3 2023</t>
  </si>
  <si>
    <t>Q2 2023</t>
  </si>
  <si>
    <t>Vivotif</t>
  </si>
  <si>
    <t>Vaxchora</t>
  </si>
  <si>
    <t>30/6 2023</t>
  </si>
  <si>
    <t>Retirement benefit obligations</t>
  </si>
  <si>
    <t>Deferred tax liabilities</t>
  </si>
  <si>
    <t>1/1-30/6 2023</t>
  </si>
  <si>
    <t>Cash used for acquisition of businesses</t>
  </si>
  <si>
    <t>Q3 2023</t>
  </si>
  <si>
    <t>EBITDA</t>
  </si>
  <si>
    <t>Impairment loss</t>
  </si>
  <si>
    <t>30/9 2023</t>
  </si>
  <si>
    <t>1/1-30/9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</si>
</sst>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(* #,##0.0_);_(* \(#,##0.0\);_(* &quot;-&quot;??_);_(@_)"/>
    <numFmt numFmtId="167" formatCode="_-* #,##0.0_-;\-* #,##0.0_-;_-* &quot;-&quot;??_-;_-@_-"/>
    <numFmt numFmtId="168" formatCode="_(* #,##0.0_);_(* \(#,##0.0\);_(* &quot;-&quot;_);_(@_)"/>
    <numFmt numFmtId="169" formatCode="_(* #,##0.0_);_(* \(#,##0.0\);_(* &quot;-&quot;?_);_(@_)"/>
    <numFmt numFmtId="170" formatCode="_ * #,##0.0_ ;_ * \-#,##0.0_ ;_ * &quot;-&quot;?_ ;_ @_ "/>
    <numFmt numFmtId="171" formatCode="_(* #,##0.00_);_(* \(#,##0.00\);_(* &quot;-&quot;?_);_(@_)"/>
    <numFmt numFmtId="172" formatCode="_-* #,##0_-;\-* #,##0_-;_-* &quot;-&quot;??_-;_-@_-"/>
    <numFmt numFmtId="173" formatCode="_-* #,##0.000_-;\-* #,##0.000_-;_-* &quot;-&quot;??_-;_-@_-"/>
  </numFmts>
  <fonts count="21" x14ac:knownFonts="1">
    <font>
      <sz val="10"/>
      <name val="Arial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4"/>
      <color rgb="FF00B9BA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b/>
      <sz val="9"/>
      <name val="Trebuchet MS"/>
      <family val="2"/>
    </font>
    <font>
      <i/>
      <sz val="10"/>
      <name val="Trebuchet MS"/>
      <family val="2"/>
    </font>
    <font>
      <sz val="10"/>
      <color rgb="FFFF0000"/>
      <name val="Trebuchet MS"/>
      <family val="2"/>
    </font>
    <font>
      <b/>
      <i/>
      <sz val="10"/>
      <name val="Trebuchet MS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name val="Lucida Sans Unicode"/>
      <family val="2"/>
    </font>
    <font>
      <sz val="11"/>
      <color indexed="8"/>
      <name val="Trebuchet MS"/>
      <family val="2"/>
    </font>
    <font>
      <b/>
      <sz val="14"/>
      <color rgb="FFC00000"/>
      <name val="Trebuchet MS"/>
      <family val="2"/>
    </font>
    <font>
      <vertAlign val="superscript"/>
      <sz val="10"/>
      <name val="Trebuchet MS"/>
      <family val="2"/>
    </font>
    <font>
      <b/>
      <sz val="10"/>
      <color rgb="FFFF0000"/>
      <name val="Trebuchet MS"/>
      <family val="2"/>
    </font>
    <font>
      <sz val="8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02">
    <xf numFmtId="0" fontId="0" fillId="0" borderId="0"/>
    <xf numFmtId="43" fontId="2" fillId="0" borderId="0" applyFont="0" applyFill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1" fillId="2" borderId="0" applyNumberFormat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0" applyNumberFormat="0" applyFill="0" applyBorder="0" applyAlignment="0" applyProtection="0"/>
    <xf numFmtId="0" fontId="10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>
      <alignment wrapText="1"/>
    </xf>
    <xf numFmtId="0" fontId="15" fillId="0" borderId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6" fillId="3" borderId="3" applyNumberFormat="0" applyFont="0" applyAlignment="0" applyProtection="0"/>
    <xf numFmtId="0" fontId="1" fillId="3" borderId="3" applyNumberFormat="0" applyFon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77">
    <xf numFmtId="0" fontId="0" fillId="0" borderId="0" xfId="0"/>
    <xf numFmtId="0" fontId="3" fillId="16" borderId="0" xfId="0" applyFont="1" applyFill="1"/>
    <xf numFmtId="0" fontId="4" fillId="16" borderId="0" xfId="0" applyFont="1" applyFill="1" applyAlignment="1">
      <alignment horizontal="right"/>
    </xf>
    <xf numFmtId="0" fontId="5" fillId="16" borderId="0" xfId="0" applyFont="1" applyFill="1"/>
    <xf numFmtId="166" fontId="4" fillId="16" borderId="0" xfId="1" applyNumberFormat="1" applyFont="1" applyFill="1"/>
    <xf numFmtId="0" fontId="4" fillId="16" borderId="0" xfId="0" applyFont="1" applyFill="1"/>
    <xf numFmtId="16" fontId="4" fillId="16" borderId="0" xfId="0" quotePrefix="1" applyNumberFormat="1" applyFont="1" applyFill="1" applyAlignment="1">
      <alignment horizontal="center"/>
    </xf>
    <xf numFmtId="166" fontId="4" fillId="16" borderId="0" xfId="0" quotePrefix="1" applyNumberFormat="1" applyFont="1" applyFill="1" applyAlignment="1">
      <alignment horizontal="center"/>
    </xf>
    <xf numFmtId="0" fontId="5" fillId="16" borderId="4" xfId="0" applyFont="1" applyFill="1" applyBorder="1"/>
    <xf numFmtId="0" fontId="6" fillId="16" borderId="4" xfId="0" applyFont="1" applyFill="1" applyBorder="1" applyAlignment="1">
      <alignment horizontal="right"/>
    </xf>
    <xf numFmtId="0" fontId="7" fillId="16" borderId="0" xfId="0" applyFont="1" applyFill="1" applyAlignment="1">
      <alignment horizontal="right"/>
    </xf>
    <xf numFmtId="0" fontId="5" fillId="16" borderId="0" xfId="0" applyFont="1" applyFill="1" applyAlignment="1">
      <alignment horizontal="center"/>
    </xf>
    <xf numFmtId="166" fontId="5" fillId="16" borderId="0" xfId="0" applyNumberFormat="1" applyFont="1" applyFill="1" applyAlignment="1">
      <alignment horizontal="center"/>
    </xf>
    <xf numFmtId="167" fontId="4" fillId="16" borderId="0" xfId="1" applyNumberFormat="1" applyFont="1" applyFill="1" applyAlignment="1">
      <alignment horizontal="right"/>
    </xf>
    <xf numFmtId="168" fontId="4" fillId="16" borderId="0" xfId="0" applyNumberFormat="1" applyFont="1" applyFill="1"/>
    <xf numFmtId="0" fontId="4" fillId="16" borderId="4" xfId="0" applyFont="1" applyFill="1" applyBorder="1"/>
    <xf numFmtId="167" fontId="4" fillId="16" borderId="4" xfId="1" applyNumberFormat="1" applyFont="1" applyFill="1" applyBorder="1" applyAlignment="1">
      <alignment horizontal="right"/>
    </xf>
    <xf numFmtId="168" fontId="4" fillId="16" borderId="4" xfId="0" applyNumberFormat="1" applyFont="1" applyFill="1" applyBorder="1"/>
    <xf numFmtId="167" fontId="4" fillId="16" borderId="0" xfId="1" applyNumberFormat="1" applyFont="1" applyFill="1" applyBorder="1" applyAlignment="1">
      <alignment horizontal="right"/>
    </xf>
    <xf numFmtId="167" fontId="5" fillId="16" borderId="4" xfId="1" applyNumberFormat="1" applyFont="1" applyFill="1" applyBorder="1" applyAlignment="1">
      <alignment horizontal="right"/>
    </xf>
    <xf numFmtId="168" fontId="5" fillId="16" borderId="0" xfId="0" applyNumberFormat="1" applyFont="1" applyFill="1"/>
    <xf numFmtId="166" fontId="5" fillId="16" borderId="0" xfId="0" applyNumberFormat="1" applyFont="1" applyFill="1"/>
    <xf numFmtId="169" fontId="5" fillId="16" borderId="0" xfId="0" applyNumberFormat="1" applyFont="1" applyFill="1"/>
    <xf numFmtId="0" fontId="8" fillId="16" borderId="0" xfId="0" applyFont="1" applyFill="1"/>
    <xf numFmtId="166" fontId="4" fillId="16" borderId="0" xfId="0" applyNumberFormat="1" applyFont="1" applyFill="1"/>
    <xf numFmtId="169" fontId="4" fillId="16" borderId="0" xfId="0" applyNumberFormat="1" applyFont="1" applyFill="1"/>
    <xf numFmtId="169" fontId="6" fillId="16" borderId="4" xfId="0" applyNumberFormat="1" applyFont="1" applyFill="1" applyBorder="1" applyAlignment="1">
      <alignment horizontal="right"/>
    </xf>
    <xf numFmtId="167" fontId="4" fillId="16" borderId="4" xfId="0" applyNumberFormat="1" applyFont="1" applyFill="1" applyBorder="1" applyAlignment="1">
      <alignment horizontal="right"/>
    </xf>
    <xf numFmtId="169" fontId="5" fillId="16" borderId="4" xfId="0" applyNumberFormat="1" applyFont="1" applyFill="1" applyBorder="1"/>
    <xf numFmtId="168" fontId="5" fillId="16" borderId="4" xfId="0" applyNumberFormat="1" applyFont="1" applyFill="1" applyBorder="1"/>
    <xf numFmtId="167" fontId="4" fillId="16" borderId="0" xfId="0" applyNumberFormat="1" applyFont="1" applyFill="1" applyAlignment="1">
      <alignment horizontal="right"/>
    </xf>
    <xf numFmtId="170" fontId="4" fillId="16" borderId="0" xfId="0" applyNumberFormat="1" applyFont="1" applyFill="1"/>
    <xf numFmtId="0" fontId="4" fillId="16" borderId="0" xfId="0" applyFont="1" applyFill="1" applyAlignment="1">
      <alignment horizontal="center"/>
    </xf>
    <xf numFmtId="169" fontId="4" fillId="16" borderId="0" xfId="0" applyNumberFormat="1" applyFont="1" applyFill="1" applyAlignment="1">
      <alignment horizontal="center"/>
    </xf>
    <xf numFmtId="0" fontId="5" fillId="16" borderId="6" xfId="0" applyFont="1" applyFill="1" applyBorder="1"/>
    <xf numFmtId="0" fontId="6" fillId="16" borderId="6" xfId="0" applyFont="1" applyFill="1" applyBorder="1" applyAlignment="1">
      <alignment horizontal="right"/>
    </xf>
    <xf numFmtId="0" fontId="9" fillId="16" borderId="0" xfId="0" applyFont="1" applyFill="1" applyAlignment="1">
      <alignment horizontal="center"/>
    </xf>
    <xf numFmtId="169" fontId="5" fillId="16" borderId="0" xfId="0" applyNumberFormat="1" applyFont="1" applyFill="1" applyAlignment="1">
      <alignment horizontal="center"/>
    </xf>
    <xf numFmtId="0" fontId="4" fillId="16" borderId="0" xfId="0" applyFont="1" applyFill="1" applyAlignment="1">
      <alignment wrapText="1"/>
    </xf>
    <xf numFmtId="169" fontId="4" fillId="16" borderId="4" xfId="0" applyNumberFormat="1" applyFont="1" applyFill="1" applyBorder="1" applyAlignment="1">
      <alignment horizontal="center"/>
    </xf>
    <xf numFmtId="169" fontId="5" fillId="16" borderId="4" xfId="0" applyNumberFormat="1" applyFont="1" applyFill="1" applyBorder="1" applyAlignment="1">
      <alignment horizontal="center"/>
    </xf>
    <xf numFmtId="0" fontId="4" fillId="16" borderId="5" xfId="0" applyFont="1" applyFill="1" applyBorder="1"/>
    <xf numFmtId="169" fontId="4" fillId="16" borderId="5" xfId="0" applyNumberFormat="1" applyFont="1" applyFill="1" applyBorder="1" applyAlignment="1">
      <alignment horizontal="center"/>
    </xf>
    <xf numFmtId="171" fontId="4" fillId="16" borderId="0" xfId="0" applyNumberFormat="1" applyFont="1" applyFill="1" applyAlignment="1">
      <alignment horizontal="center"/>
    </xf>
    <xf numFmtId="0" fontId="17" fillId="16" borderId="0" xfId="0" applyFont="1" applyFill="1"/>
    <xf numFmtId="0" fontId="4" fillId="16" borderId="0" xfId="0" applyFont="1" applyFill="1" applyAlignment="1">
      <alignment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0" xfId="0" applyFont="1" applyFill="1" applyAlignment="1">
      <alignment horizontal="center" vertical="center"/>
    </xf>
    <xf numFmtId="0" fontId="4" fillId="16" borderId="0" xfId="0" applyFont="1" applyFill="1" applyAlignment="1">
      <alignment horizontal="center" vertical="center"/>
    </xf>
    <xf numFmtId="0" fontId="4" fillId="16" borderId="4" xfId="0" applyFont="1" applyFill="1" applyBorder="1" applyAlignment="1">
      <alignment horizontal="center" vertical="center"/>
    </xf>
    <xf numFmtId="168" fontId="5" fillId="16" borderId="4" xfId="1" applyNumberFormat="1" applyFont="1" applyFill="1" applyBorder="1"/>
    <xf numFmtId="0" fontId="5" fillId="16" borderId="0" xfId="0" applyFont="1" applyFill="1" applyAlignment="1">
      <alignment horizontal="left"/>
    </xf>
    <xf numFmtId="168" fontId="5" fillId="16" borderId="0" xfId="1" applyNumberFormat="1" applyFont="1" applyFill="1" applyBorder="1"/>
    <xf numFmtId="0" fontId="4" fillId="16" borderId="4" xfId="0" quotePrefix="1" applyFont="1" applyFill="1" applyBorder="1" applyAlignment="1">
      <alignment wrapText="1"/>
    </xf>
    <xf numFmtId="0" fontId="5" fillId="16" borderId="7" xfId="0" applyFont="1" applyFill="1" applyBorder="1"/>
    <xf numFmtId="170" fontId="5" fillId="16" borderId="7" xfId="0" applyNumberFormat="1" applyFont="1" applyFill="1" applyBorder="1"/>
    <xf numFmtId="0" fontId="6" fillId="16" borderId="0" xfId="0" applyFont="1" applyFill="1" applyAlignment="1">
      <alignment horizontal="right"/>
    </xf>
    <xf numFmtId="170" fontId="5" fillId="16" borderId="0" xfId="0" applyNumberFormat="1" applyFont="1" applyFill="1"/>
    <xf numFmtId="167" fontId="4" fillId="16" borderId="4" xfId="0" applyNumberFormat="1" applyFont="1" applyFill="1" applyBorder="1"/>
    <xf numFmtId="170" fontId="4" fillId="16" borderId="0" xfId="0" applyNumberFormat="1" applyFont="1" applyFill="1" applyAlignment="1">
      <alignment horizontal="center" vertical="center"/>
    </xf>
    <xf numFmtId="170" fontId="4" fillId="16" borderId="4" xfId="0" applyNumberFormat="1" applyFont="1" applyFill="1" applyBorder="1" applyAlignment="1">
      <alignment horizontal="center" vertical="center"/>
    </xf>
    <xf numFmtId="0" fontId="19" fillId="0" borderId="0" xfId="0" applyFont="1"/>
    <xf numFmtId="168" fontId="4" fillId="16" borderId="0" xfId="1" applyNumberFormat="1" applyFont="1" applyFill="1" applyBorder="1" applyAlignment="1">
      <alignment horizontal="right"/>
    </xf>
    <xf numFmtId="168" fontId="4" fillId="16" borderId="4" xfId="0" applyNumberFormat="1" applyFont="1" applyFill="1" applyBorder="1" applyAlignment="1">
      <alignment horizontal="right"/>
    </xf>
    <xf numFmtId="0" fontId="0" fillId="16" borderId="0" xfId="0" applyFill="1"/>
    <xf numFmtId="172" fontId="4" fillId="16" borderId="0" xfId="1" applyNumberFormat="1" applyFont="1" applyFill="1" applyBorder="1" applyAlignment="1">
      <alignment horizontal="right"/>
    </xf>
    <xf numFmtId="49" fontId="4" fillId="16" borderId="0" xfId="1" applyNumberFormat="1" applyFont="1" applyFill="1" applyBorder="1" applyAlignment="1">
      <alignment horizontal="left"/>
    </xf>
    <xf numFmtId="0" fontId="19" fillId="16" borderId="0" xfId="0" applyFont="1" applyFill="1" applyAlignment="1">
      <alignment horizontal="left"/>
    </xf>
    <xf numFmtId="0" fontId="19" fillId="16" borderId="0" xfId="0" applyFont="1" applyFill="1"/>
    <xf numFmtId="172" fontId="0" fillId="16" borderId="0" xfId="0" applyNumberFormat="1" applyFill="1"/>
    <xf numFmtId="168" fontId="4" fillId="16" borderId="0" xfId="0" applyNumberFormat="1" applyFont="1" applyFill="1" applyAlignment="1">
      <alignment horizontal="right"/>
    </xf>
    <xf numFmtId="0" fontId="4" fillId="16" borderId="0" xfId="0" quotePrefix="1" applyFont="1" applyFill="1"/>
    <xf numFmtId="172" fontId="4" fillId="16" borderId="0" xfId="1" applyNumberFormat="1" applyFont="1" applyFill="1" applyAlignment="1">
      <alignment horizontal="right"/>
    </xf>
    <xf numFmtId="167" fontId="4" fillId="16" borderId="0" xfId="0" applyNumberFormat="1" applyFont="1" applyFill="1"/>
    <xf numFmtId="169" fontId="4" fillId="16" borderId="4" xfId="0" applyNumberFormat="1" applyFont="1" applyFill="1" applyBorder="1"/>
    <xf numFmtId="173" fontId="0" fillId="16" borderId="0" xfId="0" applyNumberFormat="1" applyFill="1"/>
    <xf numFmtId="0" fontId="20" fillId="16" borderId="0" xfId="0" applyFont="1" applyFill="1"/>
  </cellXfs>
  <cellStyles count="102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Comma" xfId="1" builtinId="3"/>
    <cellStyle name="Comma 10" xfId="14" xr:uid="{00000000-0005-0000-0000-00000D000000}"/>
    <cellStyle name="Comma 10 2" xfId="15" xr:uid="{00000000-0005-0000-0000-00000E000000}"/>
    <cellStyle name="Comma 11" xfId="16" xr:uid="{00000000-0005-0000-0000-00000F000000}"/>
    <cellStyle name="Comma 11 2" xfId="17" xr:uid="{00000000-0005-0000-0000-000010000000}"/>
    <cellStyle name="Comma 12" xfId="18" xr:uid="{00000000-0005-0000-0000-000011000000}"/>
    <cellStyle name="Comma 12 2" xfId="19" xr:uid="{00000000-0005-0000-0000-000012000000}"/>
    <cellStyle name="Comma 13" xfId="20" xr:uid="{00000000-0005-0000-0000-000013000000}"/>
    <cellStyle name="Comma 13 2" xfId="21" xr:uid="{00000000-0005-0000-0000-000014000000}"/>
    <cellStyle name="Comma 14" xfId="22" xr:uid="{00000000-0005-0000-0000-000015000000}"/>
    <cellStyle name="Comma 14 2" xfId="23" xr:uid="{00000000-0005-0000-0000-000016000000}"/>
    <cellStyle name="Comma 15" xfId="24" xr:uid="{00000000-0005-0000-0000-000017000000}"/>
    <cellStyle name="Comma 15 2" xfId="25" xr:uid="{00000000-0005-0000-0000-000018000000}"/>
    <cellStyle name="Comma 16" xfId="26" xr:uid="{00000000-0005-0000-0000-000019000000}"/>
    <cellStyle name="Comma 16 2" xfId="27" xr:uid="{00000000-0005-0000-0000-00001A000000}"/>
    <cellStyle name="Comma 17" xfId="28" xr:uid="{00000000-0005-0000-0000-00001B000000}"/>
    <cellStyle name="Comma 18" xfId="29" xr:uid="{00000000-0005-0000-0000-00001C000000}"/>
    <cellStyle name="Comma 2" xfId="30" xr:uid="{00000000-0005-0000-0000-00001D000000}"/>
    <cellStyle name="Comma 3" xfId="31" xr:uid="{00000000-0005-0000-0000-00001E000000}"/>
    <cellStyle name="Comma 4" xfId="32" xr:uid="{00000000-0005-0000-0000-00001F000000}"/>
    <cellStyle name="Comma 4 2" xfId="33" xr:uid="{00000000-0005-0000-0000-000020000000}"/>
    <cellStyle name="Comma 5" xfId="34" xr:uid="{00000000-0005-0000-0000-000021000000}"/>
    <cellStyle name="Comma 5 2" xfId="35" xr:uid="{00000000-0005-0000-0000-000022000000}"/>
    <cellStyle name="Comma 6" xfId="36" xr:uid="{00000000-0005-0000-0000-000023000000}"/>
    <cellStyle name="Comma 6 2" xfId="37" xr:uid="{00000000-0005-0000-0000-000024000000}"/>
    <cellStyle name="Comma 7" xfId="38" xr:uid="{00000000-0005-0000-0000-000025000000}"/>
    <cellStyle name="Comma 7 2" xfId="39" xr:uid="{00000000-0005-0000-0000-000026000000}"/>
    <cellStyle name="Comma 8" xfId="40" xr:uid="{00000000-0005-0000-0000-000027000000}"/>
    <cellStyle name="Comma 8 2" xfId="41" xr:uid="{00000000-0005-0000-0000-000028000000}"/>
    <cellStyle name="Comma 9" xfId="42" xr:uid="{00000000-0005-0000-0000-000029000000}"/>
    <cellStyle name="Comma 9 2" xfId="43" xr:uid="{00000000-0005-0000-0000-00002A000000}"/>
    <cellStyle name="Good 2" xfId="44" xr:uid="{00000000-0005-0000-0000-00002B000000}"/>
    <cellStyle name="Heading 1 2" xfId="45" xr:uid="{00000000-0005-0000-0000-00002C000000}"/>
    <cellStyle name="Heading 2 2" xfId="46" xr:uid="{00000000-0005-0000-0000-00002D000000}"/>
    <cellStyle name="Heading 4 2" xfId="47" xr:uid="{00000000-0005-0000-0000-00002E000000}"/>
    <cellStyle name="Normal" xfId="0" builtinId="0"/>
    <cellStyle name="Normal 10" xfId="48" xr:uid="{00000000-0005-0000-0000-000030000000}"/>
    <cellStyle name="Normal 11" xfId="49" xr:uid="{00000000-0005-0000-0000-000031000000}"/>
    <cellStyle name="Normal 2" xfId="50" xr:uid="{00000000-0005-0000-0000-000032000000}"/>
    <cellStyle name="Normal 2 10" xfId="51" xr:uid="{00000000-0005-0000-0000-000033000000}"/>
    <cellStyle name="Normal 2 11" xfId="52" xr:uid="{00000000-0005-0000-0000-000034000000}"/>
    <cellStyle name="Normal 2 12" xfId="53" xr:uid="{00000000-0005-0000-0000-000035000000}"/>
    <cellStyle name="Normal 2 13" xfId="54" xr:uid="{00000000-0005-0000-0000-000036000000}"/>
    <cellStyle name="Normal 2 14" xfId="55" xr:uid="{00000000-0005-0000-0000-000037000000}"/>
    <cellStyle name="Normal 2 15" xfId="56" xr:uid="{00000000-0005-0000-0000-000038000000}"/>
    <cellStyle name="Normal 2 2" xfId="57" xr:uid="{00000000-0005-0000-0000-000039000000}"/>
    <cellStyle name="Normal 2 2 2" xfId="58" xr:uid="{00000000-0005-0000-0000-00003A000000}"/>
    <cellStyle name="Normal 2 2 2 2" xfId="59" xr:uid="{00000000-0005-0000-0000-00003B000000}"/>
    <cellStyle name="Normal 2 3" xfId="60" xr:uid="{00000000-0005-0000-0000-00003C000000}"/>
    <cellStyle name="Normal 2 4" xfId="61" xr:uid="{00000000-0005-0000-0000-00003D000000}"/>
    <cellStyle name="Normal 2 5" xfId="62" xr:uid="{00000000-0005-0000-0000-00003E000000}"/>
    <cellStyle name="Normal 2 6" xfId="63" xr:uid="{00000000-0005-0000-0000-00003F000000}"/>
    <cellStyle name="Normal 2 7" xfId="64" xr:uid="{00000000-0005-0000-0000-000040000000}"/>
    <cellStyle name="Normal 2 8" xfId="65" xr:uid="{00000000-0005-0000-0000-000041000000}"/>
    <cellStyle name="Normal 2 9" xfId="66" xr:uid="{00000000-0005-0000-0000-000042000000}"/>
    <cellStyle name="Normal 3" xfId="67" xr:uid="{00000000-0005-0000-0000-000043000000}"/>
    <cellStyle name="Normal 3 10" xfId="68" xr:uid="{00000000-0005-0000-0000-000044000000}"/>
    <cellStyle name="Normal 3 11" xfId="69" xr:uid="{00000000-0005-0000-0000-000045000000}"/>
    <cellStyle name="Normal 3 12" xfId="70" xr:uid="{00000000-0005-0000-0000-000046000000}"/>
    <cellStyle name="Normal 3 13" xfId="71" xr:uid="{00000000-0005-0000-0000-000047000000}"/>
    <cellStyle name="Normal 3 14" xfId="72" xr:uid="{00000000-0005-0000-0000-000048000000}"/>
    <cellStyle name="Normal 3 15" xfId="73" xr:uid="{00000000-0005-0000-0000-000049000000}"/>
    <cellStyle name="Normal 3 2" xfId="74" xr:uid="{00000000-0005-0000-0000-00004A000000}"/>
    <cellStyle name="Normal 3 3" xfId="75" xr:uid="{00000000-0005-0000-0000-00004B000000}"/>
    <cellStyle name="Normal 3 4" xfId="76" xr:uid="{00000000-0005-0000-0000-00004C000000}"/>
    <cellStyle name="Normal 3 5" xfId="77" xr:uid="{00000000-0005-0000-0000-00004D000000}"/>
    <cellStyle name="Normal 3 6" xfId="78" xr:uid="{00000000-0005-0000-0000-00004E000000}"/>
    <cellStyle name="Normal 3 7" xfId="79" xr:uid="{00000000-0005-0000-0000-00004F000000}"/>
    <cellStyle name="Normal 3 8" xfId="80" xr:uid="{00000000-0005-0000-0000-000050000000}"/>
    <cellStyle name="Normal 3 9" xfId="81" xr:uid="{00000000-0005-0000-0000-000051000000}"/>
    <cellStyle name="Normal 4" xfId="82" xr:uid="{00000000-0005-0000-0000-000052000000}"/>
    <cellStyle name="Normal 4 2" xfId="83" xr:uid="{00000000-0005-0000-0000-000053000000}"/>
    <cellStyle name="Normal 5" xfId="84" xr:uid="{00000000-0005-0000-0000-000054000000}"/>
    <cellStyle name="Normal 5 2" xfId="85" xr:uid="{00000000-0005-0000-0000-000055000000}"/>
    <cellStyle name="Normal 6" xfId="86" xr:uid="{00000000-0005-0000-0000-000056000000}"/>
    <cellStyle name="Normal 6 2" xfId="87" xr:uid="{00000000-0005-0000-0000-000057000000}"/>
    <cellStyle name="Normal 7" xfId="88" xr:uid="{00000000-0005-0000-0000-000058000000}"/>
    <cellStyle name="Normal 8" xfId="89" xr:uid="{00000000-0005-0000-0000-000059000000}"/>
    <cellStyle name="Normal 9" xfId="90" xr:uid="{00000000-0005-0000-0000-00005A000000}"/>
    <cellStyle name="Note 2" xfId="91" xr:uid="{00000000-0005-0000-0000-00005B000000}"/>
    <cellStyle name="Note 2 2" xfId="92" xr:uid="{00000000-0005-0000-0000-00005C000000}"/>
    <cellStyle name="Note 3" xfId="93" xr:uid="{00000000-0005-0000-0000-00005D000000}"/>
    <cellStyle name="Note 3 2" xfId="94" xr:uid="{00000000-0005-0000-0000-00005E000000}"/>
    <cellStyle name="Note 4" xfId="95" xr:uid="{00000000-0005-0000-0000-00005F000000}"/>
    <cellStyle name="Note 4 2" xfId="96" xr:uid="{00000000-0005-0000-0000-000060000000}"/>
    <cellStyle name="Note 5" xfId="97" xr:uid="{00000000-0005-0000-0000-000061000000}"/>
    <cellStyle name="Percent 2" xfId="98" xr:uid="{00000000-0005-0000-0000-000062000000}"/>
    <cellStyle name="Percent 3" xfId="99" xr:uid="{00000000-0005-0000-0000-000063000000}"/>
    <cellStyle name="Percent 4" xfId="100" xr:uid="{00000000-0005-0000-0000-000064000000}"/>
    <cellStyle name="Percent 5" xfId="101" xr:uid="{00000000-0005-0000-0000-00006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A8" dT="2023-08-18T13:10:49.03" personId="{00000000-0000-0000-0000-000000000000}" id="{CA4A020E-F94E-4EC5-B13C-FF3D8DE269B5}">
    <text>Tal ændret ifm. Q1 2019 rapportering. Der var anført ultimo i stedet for gns.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B1:AY58"/>
  <sheetViews>
    <sheetView showGridLines="0" tabSelected="1" zoomScaleNormal="100" zoomScaleSheetLayoutView="75" workbookViewId="0">
      <selection activeCell="B1" sqref="B1"/>
    </sheetView>
  </sheetViews>
  <sheetFormatPr defaultRowHeight="15" x14ac:dyDescent="0.3"/>
  <cols>
    <col min="1" max="1" width="5.7109375" style="5" customWidth="1"/>
    <col min="2" max="2" width="32.7109375" style="5" customWidth="1"/>
    <col min="3" max="3" width="4.7109375" style="45" customWidth="1"/>
    <col min="4" max="6" width="12" style="45" customWidth="1"/>
    <col min="7" max="34" width="12" style="5" customWidth="1"/>
    <col min="35" max="35" width="12" style="45" customWidth="1"/>
    <col min="36" max="50" width="12" style="5" customWidth="1"/>
    <col min="51" max="51" width="13.85546875" style="5" customWidth="1"/>
    <col min="52" max="16384" width="9.140625" style="5"/>
  </cols>
  <sheetData>
    <row r="1" spans="2:51" ht="18.75" x14ac:dyDescent="0.3">
      <c r="B1" s="44" t="s">
        <v>82</v>
      </c>
      <c r="C1" s="2"/>
      <c r="D1" s="2"/>
      <c r="E1" s="2"/>
      <c r="F1" s="2"/>
      <c r="AI1" s="2"/>
      <c r="AJ1" s="2"/>
    </row>
    <row r="2" spans="2:51" x14ac:dyDescent="0.3">
      <c r="C2" s="2"/>
      <c r="D2" s="2"/>
      <c r="E2" s="2"/>
      <c r="F2" s="2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X2" s="67"/>
      <c r="Y2" s="67"/>
      <c r="AI2" s="2"/>
    </row>
    <row r="3" spans="2:51" ht="18.75" x14ac:dyDescent="0.3">
      <c r="B3" s="1" t="s">
        <v>138</v>
      </c>
      <c r="AR3" s="3"/>
      <c r="AS3" s="3"/>
      <c r="AT3" s="3"/>
      <c r="AU3" s="3"/>
      <c r="AV3" s="3"/>
      <c r="AW3" s="3"/>
      <c r="AX3" s="3"/>
      <c r="AY3" s="3"/>
    </row>
    <row r="5" spans="2:51" ht="15.75" x14ac:dyDescent="0.35">
      <c r="B5" s="8" t="s">
        <v>0</v>
      </c>
      <c r="C5" s="46" t="s">
        <v>83</v>
      </c>
      <c r="D5" s="9" t="s">
        <v>278</v>
      </c>
      <c r="E5" s="9" t="s">
        <v>270</v>
      </c>
      <c r="F5" s="9" t="s">
        <v>267</v>
      </c>
      <c r="G5" s="9" t="s">
        <v>264</v>
      </c>
      <c r="H5" s="9" t="s">
        <v>261</v>
      </c>
      <c r="I5" s="9" t="s">
        <v>257</v>
      </c>
      <c r="J5" s="9" t="s">
        <v>254</v>
      </c>
      <c r="K5" s="9" t="s">
        <v>250</v>
      </c>
      <c r="L5" s="9" t="s">
        <v>246</v>
      </c>
      <c r="M5" s="9" t="s">
        <v>243</v>
      </c>
      <c r="N5" s="9" t="s">
        <v>240</v>
      </c>
      <c r="O5" s="9" t="s">
        <v>237</v>
      </c>
      <c r="P5" s="9" t="s">
        <v>233</v>
      </c>
      <c r="Q5" s="9" t="s">
        <v>227</v>
      </c>
      <c r="R5" s="9" t="s">
        <v>215</v>
      </c>
      <c r="S5" s="9" t="s">
        <v>208</v>
      </c>
      <c r="T5" s="9" t="s">
        <v>205</v>
      </c>
      <c r="U5" s="9" t="s">
        <v>202</v>
      </c>
      <c r="V5" s="9" t="s">
        <v>192</v>
      </c>
      <c r="W5" s="9" t="s">
        <v>189</v>
      </c>
      <c r="X5" s="9" t="s">
        <v>185</v>
      </c>
      <c r="Y5" s="9" t="s">
        <v>182</v>
      </c>
      <c r="Z5" s="9" t="s">
        <v>174</v>
      </c>
      <c r="AA5" s="9" t="s">
        <v>171</v>
      </c>
      <c r="AB5" s="9" t="s">
        <v>168</v>
      </c>
      <c r="AC5" s="9" t="s">
        <v>165</v>
      </c>
      <c r="AD5" s="9" t="s">
        <v>162</v>
      </c>
      <c r="AE5" s="9" t="s">
        <v>159</v>
      </c>
      <c r="AF5" s="9" t="s">
        <v>156</v>
      </c>
      <c r="AG5" s="9" t="s">
        <v>151</v>
      </c>
      <c r="AH5" s="9" t="s">
        <v>148</v>
      </c>
      <c r="AI5" s="9" t="s">
        <v>145</v>
      </c>
      <c r="AJ5" s="9" t="s">
        <v>137</v>
      </c>
      <c r="AK5" s="9" t="s">
        <v>134</v>
      </c>
      <c r="AL5" s="9" t="s">
        <v>129</v>
      </c>
      <c r="AM5" s="9" t="s">
        <v>122</v>
      </c>
      <c r="AN5" s="9" t="s">
        <v>119</v>
      </c>
      <c r="AO5" s="9" t="s">
        <v>115</v>
      </c>
      <c r="AP5" s="9" t="s">
        <v>110</v>
      </c>
      <c r="AQ5" s="9" t="s">
        <v>101</v>
      </c>
      <c r="AR5" s="9" t="s">
        <v>103</v>
      </c>
      <c r="AS5" s="9" t="s">
        <v>104</v>
      </c>
      <c r="AT5" s="9" t="s">
        <v>105</v>
      </c>
      <c r="AU5" s="9" t="s">
        <v>102</v>
      </c>
      <c r="AV5" s="9" t="s">
        <v>106</v>
      </c>
      <c r="AW5" s="9" t="s">
        <v>107</v>
      </c>
      <c r="AX5" s="9" t="s">
        <v>108</v>
      </c>
      <c r="AY5" s="56"/>
    </row>
    <row r="6" spans="2:51" x14ac:dyDescent="0.3">
      <c r="C6" s="47"/>
      <c r="D6" s="47"/>
      <c r="E6" s="47"/>
      <c r="F6" s="47"/>
      <c r="AI6" s="47"/>
    </row>
    <row r="7" spans="2:51" x14ac:dyDescent="0.3">
      <c r="B7" s="5" t="s">
        <v>84</v>
      </c>
      <c r="C7" s="48">
        <v>1</v>
      </c>
      <c r="D7" s="14">
        <v>1376.4</v>
      </c>
      <c r="E7" s="14">
        <v>1986.6</v>
      </c>
      <c r="F7" s="14">
        <v>1252.0999999999999</v>
      </c>
      <c r="G7" s="14">
        <v>1290.4000000000001</v>
      </c>
      <c r="H7" s="14">
        <v>1003.6</v>
      </c>
      <c r="I7" s="14">
        <v>536.70000000000005</v>
      </c>
      <c r="J7" s="14">
        <v>320.10000000000002</v>
      </c>
      <c r="K7" s="14">
        <v>544.10000000000036</v>
      </c>
      <c r="L7" s="14">
        <v>448.59999999999997</v>
      </c>
      <c r="M7" s="14">
        <v>370</v>
      </c>
      <c r="N7" s="14">
        <v>535.19999999999993</v>
      </c>
      <c r="O7" s="14">
        <v>228.90000000000009</v>
      </c>
      <c r="P7" s="14">
        <v>558.5</v>
      </c>
      <c r="Q7" s="14">
        <v>699.6</v>
      </c>
      <c r="R7" s="14">
        <v>365.4</v>
      </c>
      <c r="S7" s="14">
        <v>290.2</v>
      </c>
      <c r="T7" s="14">
        <v>144.1</v>
      </c>
      <c r="U7" s="14">
        <v>101.4</v>
      </c>
      <c r="V7" s="14">
        <v>126.8</v>
      </c>
      <c r="W7" s="14">
        <f>500.6-SUM(X7:Z7)</f>
        <v>181.3</v>
      </c>
      <c r="X7" s="14">
        <v>221.7</v>
      </c>
      <c r="Y7" s="14">
        <v>86.3</v>
      </c>
      <c r="Z7" s="14">
        <v>11.3</v>
      </c>
      <c r="AA7" s="14">
        <f>1370.1-SUM(AB7:AD7)</f>
        <v>40.799999999999955</v>
      </c>
      <c r="AB7" s="14">
        <v>734.3</v>
      </c>
      <c r="AC7" s="14">
        <v>397.3</v>
      </c>
      <c r="AD7" s="14">
        <v>197.7</v>
      </c>
      <c r="AE7" s="14">
        <v>415.20000000000005</v>
      </c>
      <c r="AF7" s="14">
        <v>452.3</v>
      </c>
      <c r="AG7" s="14">
        <v>116.6</v>
      </c>
      <c r="AH7" s="14">
        <v>22.6</v>
      </c>
      <c r="AI7" s="59">
        <v>317.60000000000002</v>
      </c>
      <c r="AJ7" s="14">
        <v>79.099999999999994</v>
      </c>
      <c r="AK7" s="14">
        <v>389.1</v>
      </c>
      <c r="AL7" s="14">
        <v>234.8</v>
      </c>
      <c r="AM7" s="14">
        <v>541.20000000000005</v>
      </c>
      <c r="AN7" s="14">
        <v>225.2</v>
      </c>
      <c r="AO7" s="14">
        <v>164.5</v>
      </c>
      <c r="AP7" s="14">
        <v>285.89999999999998</v>
      </c>
      <c r="AQ7" s="14">
        <v>337.5</v>
      </c>
      <c r="AR7" s="14">
        <v>318.89999999999998</v>
      </c>
      <c r="AS7" s="14">
        <v>350.4</v>
      </c>
      <c r="AT7" s="14">
        <v>205.7</v>
      </c>
      <c r="AU7" s="14">
        <v>266.8</v>
      </c>
      <c r="AV7" s="14">
        <v>304.39999999999998</v>
      </c>
      <c r="AW7" s="14">
        <v>277.60000000000002</v>
      </c>
      <c r="AX7" s="14">
        <v>167.8</v>
      </c>
      <c r="AY7" s="14"/>
    </row>
    <row r="8" spans="2:51" x14ac:dyDescent="0.3">
      <c r="B8" s="15" t="s">
        <v>85</v>
      </c>
      <c r="C8" s="49">
        <v>2</v>
      </c>
      <c r="D8" s="17">
        <v>514.4</v>
      </c>
      <c r="E8" s="17">
        <v>683.7</v>
      </c>
      <c r="F8" s="17">
        <v>428.4</v>
      </c>
      <c r="G8" s="17">
        <v>342.20000000000005</v>
      </c>
      <c r="H8" s="17">
        <v>383.8</v>
      </c>
      <c r="I8" s="17">
        <v>431.3</v>
      </c>
      <c r="J8" s="17">
        <v>292.2</v>
      </c>
      <c r="K8" s="17">
        <v>387.09999999999991</v>
      </c>
      <c r="L8" s="17">
        <v>313.89999999999998</v>
      </c>
      <c r="M8" s="17">
        <v>249.3</v>
      </c>
      <c r="N8" s="17">
        <v>377.3</v>
      </c>
      <c r="O8" s="17">
        <v>326.89999999999986</v>
      </c>
      <c r="P8" s="17">
        <v>245.6</v>
      </c>
      <c r="Q8" s="17">
        <v>379.5</v>
      </c>
      <c r="R8" s="17">
        <v>243.1</v>
      </c>
      <c r="S8" s="17">
        <v>134.70000000000002</v>
      </c>
      <c r="T8" s="17">
        <v>92.8</v>
      </c>
      <c r="U8" s="17">
        <v>49.8</v>
      </c>
      <c r="V8" s="17">
        <v>77.5</v>
      </c>
      <c r="W8" s="17">
        <f>255.1-SUM(X8:Z8)</f>
        <v>109.9</v>
      </c>
      <c r="X8" s="17">
        <v>80.5</v>
      </c>
      <c r="Y8" s="17">
        <v>45.6</v>
      </c>
      <c r="Z8" s="17">
        <v>19.100000000000001</v>
      </c>
      <c r="AA8" s="17">
        <f>290.6-SUM(AB8:AD8)</f>
        <v>14.699999999999989</v>
      </c>
      <c r="AB8" s="17">
        <v>98.7</v>
      </c>
      <c r="AC8" s="17">
        <v>127.1</v>
      </c>
      <c r="AD8" s="17">
        <v>50.1</v>
      </c>
      <c r="AE8" s="17">
        <v>105.5</v>
      </c>
      <c r="AF8" s="17">
        <v>145.1</v>
      </c>
      <c r="AG8" s="17">
        <v>28.3</v>
      </c>
      <c r="AH8" s="17">
        <v>18.899999999999999</v>
      </c>
      <c r="AI8" s="60">
        <v>169.50000000000003</v>
      </c>
      <c r="AJ8" s="17">
        <v>43.5</v>
      </c>
      <c r="AK8" s="17">
        <v>110</v>
      </c>
      <c r="AL8" s="17">
        <v>92.1</v>
      </c>
      <c r="AM8" s="17">
        <v>167</v>
      </c>
      <c r="AN8" s="17">
        <v>99.1</v>
      </c>
      <c r="AO8" s="17">
        <v>84.6</v>
      </c>
      <c r="AP8" s="17">
        <v>144.4</v>
      </c>
      <c r="AQ8" s="17">
        <v>137.9</v>
      </c>
      <c r="AR8" s="17">
        <v>135.1</v>
      </c>
      <c r="AS8" s="17">
        <v>80.5</v>
      </c>
      <c r="AT8" s="17">
        <v>131.19999999999999</v>
      </c>
      <c r="AU8" s="17">
        <v>134.4</v>
      </c>
      <c r="AV8" s="17">
        <v>145.69999999999999</v>
      </c>
      <c r="AW8" s="17">
        <v>142.1</v>
      </c>
      <c r="AX8" s="17">
        <v>91.3</v>
      </c>
      <c r="AY8" s="14"/>
    </row>
    <row r="9" spans="2:51" ht="21" customHeight="1" x14ac:dyDescent="0.3">
      <c r="B9" s="8" t="s">
        <v>86</v>
      </c>
      <c r="C9" s="49"/>
      <c r="D9" s="50">
        <f>+D7-D8</f>
        <v>862.00000000000011</v>
      </c>
      <c r="E9" s="50">
        <f>+E7-E8</f>
        <v>1302.8999999999999</v>
      </c>
      <c r="F9" s="50">
        <f>+F7-F8</f>
        <v>823.69999999999993</v>
      </c>
      <c r="G9" s="50">
        <v>948.2</v>
      </c>
      <c r="H9" s="50">
        <f t="shared" ref="H9:I9" si="0">+H7-H8</f>
        <v>619.79999999999995</v>
      </c>
      <c r="I9" s="50">
        <f t="shared" si="0"/>
        <v>105.40000000000003</v>
      </c>
      <c r="J9" s="50">
        <f t="shared" ref="J9:AD9" si="1">+J7-J8</f>
        <v>27.900000000000034</v>
      </c>
      <c r="K9" s="50">
        <v>157.00000000000045</v>
      </c>
      <c r="L9" s="50">
        <f t="shared" si="1"/>
        <v>134.69999999999999</v>
      </c>
      <c r="M9" s="50">
        <f t="shared" si="1"/>
        <v>120.69999999999999</v>
      </c>
      <c r="N9" s="50">
        <f t="shared" si="1"/>
        <v>157.89999999999992</v>
      </c>
      <c r="O9" s="50">
        <v>-97.999999999999773</v>
      </c>
      <c r="P9" s="50">
        <f t="shared" si="1"/>
        <v>312.89999999999998</v>
      </c>
      <c r="Q9" s="50">
        <f t="shared" si="1"/>
        <v>320.10000000000002</v>
      </c>
      <c r="R9" s="50">
        <f t="shared" si="1"/>
        <v>122.29999999999998</v>
      </c>
      <c r="S9" s="50">
        <v>155.49999999999997</v>
      </c>
      <c r="T9" s="50">
        <f t="shared" si="1"/>
        <v>51.3</v>
      </c>
      <c r="U9" s="50">
        <f t="shared" si="1"/>
        <v>51.600000000000009</v>
      </c>
      <c r="V9" s="50">
        <f t="shared" si="1"/>
        <v>49.3</v>
      </c>
      <c r="W9" s="50">
        <f t="shared" si="1"/>
        <v>71.400000000000006</v>
      </c>
      <c r="X9" s="50">
        <f t="shared" si="1"/>
        <v>141.19999999999999</v>
      </c>
      <c r="Y9" s="50">
        <f t="shared" si="1"/>
        <v>40.699999999999996</v>
      </c>
      <c r="Z9" s="50">
        <f t="shared" si="1"/>
        <v>-7.8000000000000007</v>
      </c>
      <c r="AA9" s="50">
        <f t="shared" si="1"/>
        <v>26.099999999999966</v>
      </c>
      <c r="AB9" s="50">
        <f t="shared" si="1"/>
        <v>635.59999999999991</v>
      </c>
      <c r="AC9" s="50">
        <f t="shared" si="1"/>
        <v>270.20000000000005</v>
      </c>
      <c r="AD9" s="50">
        <f t="shared" si="1"/>
        <v>147.6</v>
      </c>
      <c r="AE9" s="50">
        <v>309.70000000000005</v>
      </c>
      <c r="AF9" s="50">
        <v>307.20000000000005</v>
      </c>
      <c r="AG9" s="50">
        <v>88.3</v>
      </c>
      <c r="AH9" s="50">
        <v>3.7000000000000028</v>
      </c>
      <c r="AI9" s="50">
        <v>148.1</v>
      </c>
      <c r="AJ9" s="50">
        <v>35.599999999999994</v>
      </c>
      <c r="AK9" s="50">
        <v>279.10000000000002</v>
      </c>
      <c r="AL9" s="50">
        <v>142.70000000000002</v>
      </c>
      <c r="AM9" s="50">
        <v>374.20000000000005</v>
      </c>
      <c r="AN9" s="50">
        <v>126.1</v>
      </c>
      <c r="AO9" s="50">
        <v>79.900000000000006</v>
      </c>
      <c r="AP9" s="50">
        <v>141.49999999999997</v>
      </c>
      <c r="AQ9" s="50">
        <v>199.6</v>
      </c>
      <c r="AR9" s="50">
        <v>183.79999999999998</v>
      </c>
      <c r="AS9" s="50">
        <v>269.89999999999998</v>
      </c>
      <c r="AT9" s="50">
        <v>74.5</v>
      </c>
      <c r="AU9" s="50">
        <v>132.4</v>
      </c>
      <c r="AV9" s="50">
        <v>158.69999999999999</v>
      </c>
      <c r="AW9" s="50">
        <v>135.50000000000003</v>
      </c>
      <c r="AX9" s="50">
        <v>76.500000000000014</v>
      </c>
      <c r="AY9" s="52"/>
    </row>
    <row r="10" spans="2:51" ht="21" customHeight="1" x14ac:dyDescent="0.3">
      <c r="B10" s="5" t="s">
        <v>214</v>
      </c>
      <c r="C10" s="48"/>
      <c r="D10" s="14">
        <v>96.6</v>
      </c>
      <c r="E10" s="14">
        <v>72.400000000000006</v>
      </c>
      <c r="F10" s="14">
        <v>65.599999999999994</v>
      </c>
      <c r="G10" s="14">
        <v>77.5</v>
      </c>
      <c r="H10" s="14">
        <v>50.2</v>
      </c>
      <c r="I10" s="14">
        <v>47.9</v>
      </c>
      <c r="J10" s="14">
        <v>37.4</v>
      </c>
      <c r="K10" s="14">
        <v>56.100000000000023</v>
      </c>
      <c r="L10" s="14">
        <v>37.6</v>
      </c>
      <c r="M10" s="14">
        <v>47.1</v>
      </c>
      <c r="N10" s="14">
        <v>51</v>
      </c>
      <c r="O10" s="14">
        <v>63.400000000000034</v>
      </c>
      <c r="P10" s="14">
        <v>72.599999999999994</v>
      </c>
      <c r="Q10" s="14">
        <v>75</v>
      </c>
      <c r="R10" s="14">
        <v>74.8</v>
      </c>
      <c r="S10" s="14">
        <v>21.299999999999997</v>
      </c>
      <c r="T10" s="14">
        <v>10.4</v>
      </c>
      <c r="U10" s="14">
        <v>11.6</v>
      </c>
      <c r="V10" s="14">
        <v>10.199999999999999</v>
      </c>
      <c r="W10" s="14">
        <f>33.7-SUM(X10:Z10)</f>
        <v>8.3000000000000043</v>
      </c>
      <c r="X10" s="14">
        <v>6.9</v>
      </c>
      <c r="Y10" s="14">
        <v>9</v>
      </c>
      <c r="Z10" s="14">
        <v>9.5</v>
      </c>
      <c r="AA10" s="14">
        <f>39.9-SUM(AB10:AD10)</f>
        <v>12</v>
      </c>
      <c r="AB10" s="14">
        <v>8</v>
      </c>
      <c r="AC10" s="14">
        <v>11.2</v>
      </c>
      <c r="AD10" s="14">
        <v>8.6999999999999993</v>
      </c>
      <c r="AE10" s="14">
        <v>10.399999999999999</v>
      </c>
      <c r="AF10" s="14">
        <v>9.4</v>
      </c>
      <c r="AG10" s="14">
        <v>11.7</v>
      </c>
      <c r="AH10" s="14">
        <v>7</v>
      </c>
      <c r="AI10" s="59">
        <v>9.3999999999999986</v>
      </c>
      <c r="AJ10" s="14">
        <v>5.5</v>
      </c>
      <c r="AK10" s="14">
        <v>10</v>
      </c>
      <c r="AL10" s="14">
        <v>17.399999999999999</v>
      </c>
      <c r="AM10" s="14">
        <v>10.800000000000004</v>
      </c>
      <c r="AN10" s="14">
        <v>11.6</v>
      </c>
      <c r="AO10" s="14">
        <v>11.9</v>
      </c>
      <c r="AP10" s="14">
        <v>10.8</v>
      </c>
      <c r="AQ10" s="14">
        <v>13.4</v>
      </c>
      <c r="AR10" s="14">
        <v>11.5</v>
      </c>
      <c r="AS10" s="14">
        <v>9.1</v>
      </c>
      <c r="AT10" s="14">
        <v>6.8</v>
      </c>
      <c r="AU10" s="14">
        <v>11</v>
      </c>
      <c r="AV10" s="14">
        <v>10.5</v>
      </c>
      <c r="AW10" s="14">
        <v>11</v>
      </c>
      <c r="AX10" s="14">
        <v>7.1</v>
      </c>
      <c r="AY10" s="14"/>
    </row>
    <row r="11" spans="2:51" x14ac:dyDescent="0.3">
      <c r="B11" s="38" t="s">
        <v>87</v>
      </c>
      <c r="C11" s="32">
        <v>3</v>
      </c>
      <c r="D11" s="14">
        <v>980.2</v>
      </c>
      <c r="E11" s="14">
        <v>503.6</v>
      </c>
      <c r="F11" s="14">
        <v>298</v>
      </c>
      <c r="G11" s="14">
        <v>533.29999999999995</v>
      </c>
      <c r="H11" s="14">
        <v>360.1</v>
      </c>
      <c r="I11" s="14">
        <v>184.9</v>
      </c>
      <c r="J11" s="14">
        <v>104.8</v>
      </c>
      <c r="K11" s="14">
        <v>105.5</v>
      </c>
      <c r="L11" s="14">
        <v>74.5</v>
      </c>
      <c r="M11" s="14">
        <v>97.1</v>
      </c>
      <c r="N11" s="14">
        <v>122.1</v>
      </c>
      <c r="O11" s="14">
        <v>114.99999999999997</v>
      </c>
      <c r="P11" s="14">
        <v>102.3</v>
      </c>
      <c r="Q11" s="14">
        <v>58</v>
      </c>
      <c r="R11" s="14">
        <v>66.099999999999994</v>
      </c>
      <c r="S11" s="14">
        <v>121</v>
      </c>
      <c r="T11" s="14">
        <v>91.2</v>
      </c>
      <c r="U11" s="14">
        <v>93.4</v>
      </c>
      <c r="V11" s="14">
        <v>103.7</v>
      </c>
      <c r="W11" s="14">
        <f>386.3-SUM(X11:Z11)</f>
        <v>109.69999999999999</v>
      </c>
      <c r="X11" s="14">
        <v>71.900000000000006</v>
      </c>
      <c r="Y11" s="14">
        <v>88.1</v>
      </c>
      <c r="Z11" s="14">
        <v>116.6</v>
      </c>
      <c r="AA11" s="14">
        <f>518.4-SUM(AB11:AD11)</f>
        <v>145.09999999999997</v>
      </c>
      <c r="AB11" s="14">
        <v>161.4</v>
      </c>
      <c r="AC11" s="14">
        <v>111.6</v>
      </c>
      <c r="AD11" s="14">
        <v>100.3</v>
      </c>
      <c r="AE11" s="14">
        <v>138.80000000000001</v>
      </c>
      <c r="AF11" s="14">
        <v>131</v>
      </c>
      <c r="AG11" s="14">
        <v>89.1</v>
      </c>
      <c r="AH11" s="14">
        <v>104.3</v>
      </c>
      <c r="AI11" s="59">
        <v>89.900000000000034</v>
      </c>
      <c r="AJ11" s="14">
        <v>77.7</v>
      </c>
      <c r="AK11" s="14">
        <v>100.6</v>
      </c>
      <c r="AL11" s="14">
        <v>118.6</v>
      </c>
      <c r="AM11" s="14">
        <v>165.39999999999998</v>
      </c>
      <c r="AN11" s="14">
        <v>121.9</v>
      </c>
      <c r="AO11" s="14">
        <v>102.3</v>
      </c>
      <c r="AP11" s="14">
        <v>89.3</v>
      </c>
      <c r="AQ11" s="14">
        <v>111.6</v>
      </c>
      <c r="AR11" s="14">
        <v>102.7</v>
      </c>
      <c r="AS11" s="14">
        <v>208.8</v>
      </c>
      <c r="AT11" s="14">
        <v>73.5</v>
      </c>
      <c r="AU11" s="14">
        <v>127.9</v>
      </c>
      <c r="AV11" s="14">
        <v>76.599999999999994</v>
      </c>
      <c r="AW11" s="14">
        <v>72</v>
      </c>
      <c r="AX11" s="14">
        <v>63.6</v>
      </c>
      <c r="AY11" s="14"/>
    </row>
    <row r="12" spans="2:51" x14ac:dyDescent="0.3">
      <c r="B12" s="15" t="s">
        <v>232</v>
      </c>
      <c r="C12" s="49"/>
      <c r="D12" s="17">
        <v>111.3</v>
      </c>
      <c r="E12" s="17">
        <v>180.7</v>
      </c>
      <c r="F12" s="17">
        <v>90.3</v>
      </c>
      <c r="G12" s="17">
        <v>126.5</v>
      </c>
      <c r="H12" s="17">
        <v>81.5</v>
      </c>
      <c r="I12" s="17">
        <v>90.2</v>
      </c>
      <c r="J12" s="17">
        <v>77.8</v>
      </c>
      <c r="K12" s="17">
        <v>67.299999999999955</v>
      </c>
      <c r="L12" s="17">
        <v>69.599999999999994</v>
      </c>
      <c r="M12" s="17">
        <v>83.2</v>
      </c>
      <c r="N12" s="17">
        <v>72.8</v>
      </c>
      <c r="O12" s="17">
        <v>77.699999999999989</v>
      </c>
      <c r="P12" s="17">
        <v>74.099999999999994</v>
      </c>
      <c r="Q12" s="17">
        <v>74.900000000000006</v>
      </c>
      <c r="R12" s="17">
        <v>51.5</v>
      </c>
      <c r="S12" s="17">
        <v>43.900000000000006</v>
      </c>
      <c r="T12" s="17">
        <v>46.2</v>
      </c>
      <c r="U12" s="17">
        <v>43.6</v>
      </c>
      <c r="V12" s="17">
        <v>39.700000000000003</v>
      </c>
      <c r="W12" s="17">
        <f>180-SUM(X12:Z12)</f>
        <v>47</v>
      </c>
      <c r="X12" s="17">
        <v>43.5</v>
      </c>
      <c r="Y12" s="17">
        <v>50.6</v>
      </c>
      <c r="Z12" s="17">
        <v>38.9</v>
      </c>
      <c r="AA12" s="17">
        <f>168-SUM(AB12:AD12)</f>
        <v>46.999999999999986</v>
      </c>
      <c r="AB12" s="17">
        <v>34.200000000000003</v>
      </c>
      <c r="AC12" s="17">
        <v>45.1</v>
      </c>
      <c r="AD12" s="17">
        <v>41.7</v>
      </c>
      <c r="AE12" s="17">
        <v>45.599999999999994</v>
      </c>
      <c r="AF12" s="17">
        <v>42</v>
      </c>
      <c r="AG12" s="17">
        <v>41.5</v>
      </c>
      <c r="AH12" s="17">
        <v>45.1</v>
      </c>
      <c r="AI12" s="60">
        <v>49.5</v>
      </c>
      <c r="AJ12" s="17">
        <v>34.9</v>
      </c>
      <c r="AK12" s="17">
        <v>43.5</v>
      </c>
      <c r="AL12" s="17">
        <v>46.9</v>
      </c>
      <c r="AM12" s="17">
        <v>60</v>
      </c>
      <c r="AN12" s="17">
        <v>44.2</v>
      </c>
      <c r="AO12" s="17">
        <v>38.799999999999997</v>
      </c>
      <c r="AP12" s="17">
        <v>38</v>
      </c>
      <c r="AQ12" s="17">
        <v>35.299999999999997</v>
      </c>
      <c r="AR12" s="17">
        <v>37.9</v>
      </c>
      <c r="AS12" s="17">
        <v>42</v>
      </c>
      <c r="AT12" s="17">
        <v>41.8</v>
      </c>
      <c r="AU12" s="17">
        <v>48.4</v>
      </c>
      <c r="AV12" s="17">
        <v>37.5</v>
      </c>
      <c r="AW12" s="17">
        <v>33.5</v>
      </c>
      <c r="AX12" s="17">
        <v>35.700000000000003</v>
      </c>
      <c r="AY12" s="14"/>
    </row>
    <row r="13" spans="2:51" ht="21" customHeight="1" x14ac:dyDescent="0.3">
      <c r="B13" s="8" t="s">
        <v>88</v>
      </c>
      <c r="C13" s="49"/>
      <c r="D13" s="50">
        <f>SUM(D10:D12)</f>
        <v>1188.0999999999999</v>
      </c>
      <c r="E13" s="50">
        <f>SUM(E10:E12)</f>
        <v>756.7</v>
      </c>
      <c r="F13" s="50">
        <f>SUM(F10:F12)</f>
        <v>453.90000000000003</v>
      </c>
      <c r="G13" s="50">
        <v>737.3</v>
      </c>
      <c r="H13" s="50">
        <f t="shared" ref="H13:I13" si="2">SUM(H10:H12)</f>
        <v>491.8</v>
      </c>
      <c r="I13" s="50">
        <f t="shared" si="2"/>
        <v>323</v>
      </c>
      <c r="J13" s="50">
        <f t="shared" ref="J13:AX13" si="3">SUM(J10:J12)</f>
        <v>220</v>
      </c>
      <c r="K13" s="50">
        <v>228.89999999999998</v>
      </c>
      <c r="L13" s="50">
        <f t="shared" si="3"/>
        <v>181.7</v>
      </c>
      <c r="M13" s="50">
        <f t="shared" si="3"/>
        <v>227.39999999999998</v>
      </c>
      <c r="N13" s="50">
        <f t="shared" si="3"/>
        <v>245.89999999999998</v>
      </c>
      <c r="O13" s="50">
        <v>256.10000000000002</v>
      </c>
      <c r="P13" s="50">
        <f t="shared" si="3"/>
        <v>248.99999999999997</v>
      </c>
      <c r="Q13" s="50">
        <f t="shared" si="3"/>
        <v>207.9</v>
      </c>
      <c r="R13" s="50">
        <f t="shared" si="3"/>
        <v>192.39999999999998</v>
      </c>
      <c r="S13" s="50">
        <v>186.20000000000002</v>
      </c>
      <c r="T13" s="50">
        <f t="shared" si="3"/>
        <v>147.80000000000001</v>
      </c>
      <c r="U13" s="50">
        <f t="shared" si="3"/>
        <v>148.6</v>
      </c>
      <c r="V13" s="50">
        <f t="shared" si="3"/>
        <v>153.60000000000002</v>
      </c>
      <c r="W13" s="50">
        <f t="shared" si="3"/>
        <v>165</v>
      </c>
      <c r="X13" s="50">
        <f t="shared" si="3"/>
        <v>122.30000000000001</v>
      </c>
      <c r="Y13" s="50">
        <f t="shared" si="3"/>
        <v>147.69999999999999</v>
      </c>
      <c r="Z13" s="50">
        <f t="shared" si="3"/>
        <v>165</v>
      </c>
      <c r="AA13" s="50">
        <f t="shared" si="3"/>
        <v>204.09999999999997</v>
      </c>
      <c r="AB13" s="50">
        <f t="shared" si="3"/>
        <v>203.60000000000002</v>
      </c>
      <c r="AC13" s="50">
        <f t="shared" si="3"/>
        <v>167.9</v>
      </c>
      <c r="AD13" s="50">
        <f t="shared" si="3"/>
        <v>150.69999999999999</v>
      </c>
      <c r="AE13" s="50">
        <f t="shared" si="3"/>
        <v>194.8</v>
      </c>
      <c r="AF13" s="50">
        <f t="shared" si="3"/>
        <v>182.4</v>
      </c>
      <c r="AG13" s="50">
        <f t="shared" si="3"/>
        <v>142.30000000000001</v>
      </c>
      <c r="AH13" s="50">
        <f t="shared" si="3"/>
        <v>156.4</v>
      </c>
      <c r="AI13" s="50">
        <f t="shared" si="3"/>
        <v>148.80000000000004</v>
      </c>
      <c r="AJ13" s="50">
        <f t="shared" si="3"/>
        <v>118.1</v>
      </c>
      <c r="AK13" s="50">
        <f t="shared" si="3"/>
        <v>154.1</v>
      </c>
      <c r="AL13" s="50">
        <f t="shared" si="3"/>
        <v>182.9</v>
      </c>
      <c r="AM13" s="50">
        <f t="shared" si="3"/>
        <v>236.2</v>
      </c>
      <c r="AN13" s="50">
        <f t="shared" si="3"/>
        <v>177.7</v>
      </c>
      <c r="AO13" s="50">
        <f t="shared" si="3"/>
        <v>153</v>
      </c>
      <c r="AP13" s="50">
        <f t="shared" si="3"/>
        <v>138.1</v>
      </c>
      <c r="AQ13" s="50">
        <f t="shared" si="3"/>
        <v>160.30000000000001</v>
      </c>
      <c r="AR13" s="50">
        <f t="shared" si="3"/>
        <v>152.1</v>
      </c>
      <c r="AS13" s="50">
        <f t="shared" si="3"/>
        <v>259.89999999999998</v>
      </c>
      <c r="AT13" s="50">
        <f t="shared" si="3"/>
        <v>122.1</v>
      </c>
      <c r="AU13" s="50">
        <f t="shared" si="3"/>
        <v>187.3</v>
      </c>
      <c r="AV13" s="50">
        <f t="shared" si="3"/>
        <v>124.6</v>
      </c>
      <c r="AW13" s="50">
        <f t="shared" si="3"/>
        <v>116.5</v>
      </c>
      <c r="AX13" s="50">
        <f t="shared" si="3"/>
        <v>106.4</v>
      </c>
      <c r="AY13" s="52"/>
    </row>
    <row r="14" spans="2:51" ht="21" customHeight="1" x14ac:dyDescent="0.3">
      <c r="B14" s="8" t="s">
        <v>216</v>
      </c>
      <c r="C14" s="49"/>
      <c r="D14" s="17">
        <v>0</v>
      </c>
      <c r="E14" s="17">
        <v>0</v>
      </c>
      <c r="F14" s="17">
        <v>0</v>
      </c>
      <c r="G14" s="50">
        <v>0</v>
      </c>
      <c r="H14" s="17">
        <v>0</v>
      </c>
      <c r="I14" s="17">
        <v>0</v>
      </c>
      <c r="J14" s="17">
        <v>0</v>
      </c>
      <c r="K14" s="50">
        <v>0</v>
      </c>
      <c r="L14" s="17">
        <v>0</v>
      </c>
      <c r="M14" s="17">
        <v>0</v>
      </c>
      <c r="N14" s="17">
        <v>0</v>
      </c>
      <c r="O14" s="50">
        <v>0</v>
      </c>
      <c r="P14" s="17">
        <v>0</v>
      </c>
      <c r="Q14" s="17">
        <v>0</v>
      </c>
      <c r="R14" s="29">
        <v>627.70000000000005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2"/>
    </row>
    <row r="15" spans="2:51" ht="21" customHeight="1" x14ac:dyDescent="0.3">
      <c r="B15" s="8" t="s">
        <v>55</v>
      </c>
      <c r="C15" s="49"/>
      <c r="D15" s="50">
        <f>+D9-D13+D14</f>
        <v>-326.0999999999998</v>
      </c>
      <c r="E15" s="50">
        <f>+E9-E13+E14</f>
        <v>546.19999999999982</v>
      </c>
      <c r="F15" s="50">
        <f>+F9-F13+F14</f>
        <v>369.7999999999999</v>
      </c>
      <c r="G15" s="50">
        <v>210.90000000000009</v>
      </c>
      <c r="H15" s="50">
        <f t="shared" ref="H15:I15" si="4">+H9-H13+H14</f>
        <v>127.99999999999994</v>
      </c>
      <c r="I15" s="50">
        <f t="shared" si="4"/>
        <v>-217.59999999999997</v>
      </c>
      <c r="J15" s="50">
        <f t="shared" ref="J15:AX15" si="5">+J9-J13+J14</f>
        <v>-192.09999999999997</v>
      </c>
      <c r="K15" s="50">
        <v>-71.899999999999523</v>
      </c>
      <c r="L15" s="50">
        <f t="shared" si="5"/>
        <v>-47</v>
      </c>
      <c r="M15" s="50">
        <f t="shared" si="5"/>
        <v>-106.69999999999999</v>
      </c>
      <c r="N15" s="50">
        <f t="shared" si="5"/>
        <v>-88.000000000000057</v>
      </c>
      <c r="O15" s="50">
        <v>-354.0999999999998</v>
      </c>
      <c r="P15" s="50">
        <f t="shared" si="5"/>
        <v>63.900000000000006</v>
      </c>
      <c r="Q15" s="50">
        <f t="shared" si="5"/>
        <v>112.20000000000002</v>
      </c>
      <c r="R15" s="50">
        <f t="shared" si="5"/>
        <v>557.6</v>
      </c>
      <c r="S15" s="50">
        <v>-30.700000000000045</v>
      </c>
      <c r="T15" s="50">
        <f t="shared" si="5"/>
        <v>-96.500000000000014</v>
      </c>
      <c r="U15" s="50">
        <f t="shared" si="5"/>
        <v>-96.999999999999986</v>
      </c>
      <c r="V15" s="50">
        <f t="shared" si="5"/>
        <v>-104.30000000000003</v>
      </c>
      <c r="W15" s="50">
        <f t="shared" si="5"/>
        <v>-93.6</v>
      </c>
      <c r="X15" s="50">
        <f t="shared" si="5"/>
        <v>18.899999999999977</v>
      </c>
      <c r="Y15" s="50">
        <f t="shared" si="5"/>
        <v>-107</v>
      </c>
      <c r="Z15" s="50">
        <f t="shared" si="5"/>
        <v>-172.8</v>
      </c>
      <c r="AA15" s="50">
        <f t="shared" si="5"/>
        <v>-178</v>
      </c>
      <c r="AB15" s="50">
        <f t="shared" si="5"/>
        <v>431.99999999999989</v>
      </c>
      <c r="AC15" s="50">
        <f t="shared" si="5"/>
        <v>102.30000000000004</v>
      </c>
      <c r="AD15" s="50">
        <f t="shared" si="5"/>
        <v>-3.0999999999999943</v>
      </c>
      <c r="AE15" s="50">
        <f t="shared" si="5"/>
        <v>114.90000000000003</v>
      </c>
      <c r="AF15" s="50">
        <f t="shared" si="5"/>
        <v>124.80000000000004</v>
      </c>
      <c r="AG15" s="50">
        <f t="shared" si="5"/>
        <v>-54.000000000000014</v>
      </c>
      <c r="AH15" s="50">
        <f t="shared" si="5"/>
        <v>-152.69999999999999</v>
      </c>
      <c r="AI15" s="50">
        <f t="shared" si="5"/>
        <v>-0.70000000000004547</v>
      </c>
      <c r="AJ15" s="50">
        <f t="shared" si="5"/>
        <v>-82.5</v>
      </c>
      <c r="AK15" s="50">
        <f t="shared" si="5"/>
        <v>125.00000000000003</v>
      </c>
      <c r="AL15" s="50">
        <f t="shared" si="5"/>
        <v>-40.199999999999989</v>
      </c>
      <c r="AM15" s="50">
        <f t="shared" si="5"/>
        <v>138.00000000000006</v>
      </c>
      <c r="AN15" s="50">
        <f t="shared" si="5"/>
        <v>-51.599999999999994</v>
      </c>
      <c r="AO15" s="50">
        <f t="shared" si="5"/>
        <v>-73.099999999999994</v>
      </c>
      <c r="AP15" s="50">
        <f t="shared" si="5"/>
        <v>3.3999999999999773</v>
      </c>
      <c r="AQ15" s="50">
        <f t="shared" si="5"/>
        <v>39.299999999999983</v>
      </c>
      <c r="AR15" s="50">
        <f t="shared" si="5"/>
        <v>31.699999999999989</v>
      </c>
      <c r="AS15" s="50">
        <f t="shared" si="5"/>
        <v>10</v>
      </c>
      <c r="AT15" s="50">
        <f t="shared" si="5"/>
        <v>-47.599999999999994</v>
      </c>
      <c r="AU15" s="50">
        <f t="shared" si="5"/>
        <v>-54.900000000000006</v>
      </c>
      <c r="AV15" s="50">
        <f t="shared" si="5"/>
        <v>34.099999999999994</v>
      </c>
      <c r="AW15" s="50">
        <f t="shared" si="5"/>
        <v>19.000000000000028</v>
      </c>
      <c r="AX15" s="50">
        <f t="shared" si="5"/>
        <v>-29.899999999999991</v>
      </c>
      <c r="AY15" s="52"/>
    </row>
    <row r="16" spans="2:51" ht="21" customHeight="1" x14ac:dyDescent="0.3">
      <c r="B16" s="5" t="s">
        <v>230</v>
      </c>
      <c r="C16" s="48"/>
      <c r="D16" s="14">
        <v>38.1</v>
      </c>
      <c r="E16" s="14">
        <v>26.4</v>
      </c>
      <c r="F16" s="14">
        <v>41.1</v>
      </c>
      <c r="G16" s="14">
        <v>-12.400000000000006</v>
      </c>
      <c r="H16" s="14">
        <v>10</v>
      </c>
      <c r="I16" s="14">
        <v>61.9</v>
      </c>
      <c r="J16" s="14">
        <v>19</v>
      </c>
      <c r="K16" s="14">
        <v>19.200000000000003</v>
      </c>
      <c r="L16" s="14">
        <v>12.4</v>
      </c>
      <c r="M16" s="14">
        <v>11.7</v>
      </c>
      <c r="N16" s="14">
        <v>6.9</v>
      </c>
      <c r="O16" s="14">
        <v>50.500000000000007</v>
      </c>
      <c r="P16" s="14">
        <v>5.8</v>
      </c>
      <c r="Q16" s="14">
        <v>34.4</v>
      </c>
      <c r="R16" s="14">
        <v>7.2</v>
      </c>
      <c r="S16" s="14">
        <v>-0.29999999999999716</v>
      </c>
      <c r="T16" s="14">
        <v>9.1999999999999993</v>
      </c>
      <c r="U16" s="14">
        <v>4.0999999999999996</v>
      </c>
      <c r="V16" s="14">
        <v>9.5</v>
      </c>
      <c r="W16" s="14">
        <f>35-SUM(X16:Z16)</f>
        <v>2.1000000000000014</v>
      </c>
      <c r="X16" s="14">
        <v>21.9</v>
      </c>
      <c r="Y16" s="14">
        <v>5.4</v>
      </c>
      <c r="Z16" s="14">
        <v>5.6</v>
      </c>
      <c r="AA16" s="14">
        <f>56.4-SUM(AB16:AD16)</f>
        <v>6.1000000000000014</v>
      </c>
      <c r="AB16" s="14">
        <v>28.4</v>
      </c>
      <c r="AC16" s="14">
        <v>7.7</v>
      </c>
      <c r="AD16" s="14">
        <v>14.2</v>
      </c>
      <c r="AE16" s="14">
        <v>19.399999999999999</v>
      </c>
      <c r="AF16" s="14">
        <v>4.5999999999999996</v>
      </c>
      <c r="AG16" s="14">
        <v>8.1</v>
      </c>
      <c r="AH16" s="14">
        <v>5.8</v>
      </c>
      <c r="AI16" s="59">
        <v>20.499999999999986</v>
      </c>
      <c r="AJ16" s="14">
        <v>2.9</v>
      </c>
      <c r="AK16" s="14">
        <v>-25.9</v>
      </c>
      <c r="AL16" s="14">
        <v>101.80000000000001</v>
      </c>
      <c r="AM16" s="14">
        <v>17.299999999999997</v>
      </c>
      <c r="AN16" s="14">
        <v>32</v>
      </c>
      <c r="AO16" s="14">
        <v>6.3</v>
      </c>
      <c r="AP16" s="14">
        <v>1.7</v>
      </c>
      <c r="AQ16" s="14">
        <v>5.5</v>
      </c>
      <c r="AR16" s="14">
        <v>0.8</v>
      </c>
      <c r="AS16" s="14">
        <v>-8.1</v>
      </c>
      <c r="AT16" s="14">
        <v>8.4</v>
      </c>
      <c r="AU16" s="14">
        <v>2.5</v>
      </c>
      <c r="AV16" s="14">
        <v>2</v>
      </c>
      <c r="AW16" s="14">
        <v>3.3</v>
      </c>
      <c r="AX16" s="14">
        <v>1.1000000000000001</v>
      </c>
      <c r="AY16" s="14"/>
    </row>
    <row r="17" spans="2:51" x14ac:dyDescent="0.3">
      <c r="B17" s="15" t="s">
        <v>231</v>
      </c>
      <c r="C17" s="49"/>
      <c r="D17" s="17">
        <v>46.5</v>
      </c>
      <c r="E17" s="17">
        <v>29.9</v>
      </c>
      <c r="F17" s="17">
        <v>34.4</v>
      </c>
      <c r="G17" s="17">
        <v>42.900000000000034</v>
      </c>
      <c r="H17" s="17">
        <v>118.7</v>
      </c>
      <c r="I17" s="17">
        <v>80.2</v>
      </c>
      <c r="J17" s="17">
        <v>97.5</v>
      </c>
      <c r="K17" s="17">
        <v>45.099999999999994</v>
      </c>
      <c r="L17" s="17">
        <v>44.2</v>
      </c>
      <c r="M17" s="17">
        <v>53.2</v>
      </c>
      <c r="N17" s="17">
        <v>48.6</v>
      </c>
      <c r="O17" s="17">
        <v>68.7</v>
      </c>
      <c r="P17" s="17">
        <v>42.9</v>
      </c>
      <c r="Q17" s="17">
        <v>34.700000000000003</v>
      </c>
      <c r="R17" s="17">
        <v>49.2</v>
      </c>
      <c r="S17" s="17">
        <v>15.899999999999999</v>
      </c>
      <c r="T17" s="17">
        <v>10.4</v>
      </c>
      <c r="U17" s="17">
        <v>8.4</v>
      </c>
      <c r="V17" s="17">
        <v>4.0999999999999996</v>
      </c>
      <c r="W17" s="17">
        <f>37.1-SUM(X17:Z17)</f>
        <v>7.6000000000000014</v>
      </c>
      <c r="X17" s="17">
        <v>7.5</v>
      </c>
      <c r="Y17" s="17">
        <v>7.6</v>
      </c>
      <c r="Z17" s="17">
        <v>14.4</v>
      </c>
      <c r="AA17" s="17">
        <f>107.3-SUM(AB17:AD17)</f>
        <v>19.700000000000003</v>
      </c>
      <c r="AB17" s="17">
        <v>18.7</v>
      </c>
      <c r="AC17" s="17">
        <v>51.6</v>
      </c>
      <c r="AD17" s="17">
        <v>17.3</v>
      </c>
      <c r="AE17" s="17">
        <v>16.2</v>
      </c>
      <c r="AF17" s="17">
        <v>3.5</v>
      </c>
      <c r="AG17" s="17">
        <v>-10.7</v>
      </c>
      <c r="AH17" s="17">
        <v>22.3</v>
      </c>
      <c r="AI17" s="60">
        <v>2.6999999999999993</v>
      </c>
      <c r="AJ17" s="17">
        <v>7.4</v>
      </c>
      <c r="AK17" s="17">
        <v>14.6</v>
      </c>
      <c r="AL17" s="17">
        <v>-1.4000000000000004</v>
      </c>
      <c r="AM17" s="17">
        <v>6.4999999999999991</v>
      </c>
      <c r="AN17" s="17">
        <v>1.1000000000000001</v>
      </c>
      <c r="AO17" s="17">
        <v>1.1000000000000001</v>
      </c>
      <c r="AP17" s="17">
        <v>1</v>
      </c>
      <c r="AQ17" s="17">
        <v>21</v>
      </c>
      <c r="AR17" s="17">
        <v>7.4</v>
      </c>
      <c r="AS17" s="17">
        <v>4</v>
      </c>
      <c r="AT17" s="17">
        <v>1.4</v>
      </c>
      <c r="AU17" s="17">
        <v>13.1</v>
      </c>
      <c r="AV17" s="17">
        <v>6.3</v>
      </c>
      <c r="AW17" s="17">
        <v>-0.1</v>
      </c>
      <c r="AX17" s="17">
        <v>6.6</v>
      </c>
      <c r="AY17" s="14"/>
    </row>
    <row r="18" spans="2:51" ht="21" customHeight="1" x14ac:dyDescent="0.3">
      <c r="B18" s="8" t="s">
        <v>89</v>
      </c>
      <c r="C18" s="49"/>
      <c r="D18" s="50">
        <f>+D15+D16-D17</f>
        <v>-334.49999999999977</v>
      </c>
      <c r="E18" s="50">
        <f>+E15+E16-E17</f>
        <v>542.69999999999982</v>
      </c>
      <c r="F18" s="50">
        <f>+F15+F16-F17</f>
        <v>376.49999999999994</v>
      </c>
      <c r="G18" s="50">
        <v>155.60000000000005</v>
      </c>
      <c r="H18" s="50">
        <f t="shared" ref="H18:I18" si="6">+H15+H16-H17</f>
        <v>19.29999999999994</v>
      </c>
      <c r="I18" s="50">
        <f t="shared" si="6"/>
        <v>-235.89999999999998</v>
      </c>
      <c r="J18" s="50">
        <f t="shared" ref="J18:AD18" si="7">+J15+J16-J17</f>
        <v>-270.59999999999997</v>
      </c>
      <c r="K18" s="50">
        <v>-97.799999999999514</v>
      </c>
      <c r="L18" s="50">
        <f t="shared" si="7"/>
        <v>-78.800000000000011</v>
      </c>
      <c r="M18" s="50">
        <f t="shared" si="7"/>
        <v>-148.19999999999999</v>
      </c>
      <c r="N18" s="50">
        <f t="shared" si="7"/>
        <v>-129.70000000000005</v>
      </c>
      <c r="O18" s="50">
        <v>-372.29999999999978</v>
      </c>
      <c r="P18" s="50">
        <f t="shared" si="7"/>
        <v>26.800000000000004</v>
      </c>
      <c r="Q18" s="50">
        <f t="shared" si="7"/>
        <v>111.90000000000002</v>
      </c>
      <c r="R18" s="50">
        <f t="shared" si="7"/>
        <v>515.6</v>
      </c>
      <c r="S18" s="50">
        <v>-46.900000000000041</v>
      </c>
      <c r="T18" s="50">
        <f t="shared" si="7"/>
        <v>-97.700000000000017</v>
      </c>
      <c r="U18" s="50">
        <f t="shared" si="7"/>
        <v>-101.3</v>
      </c>
      <c r="V18" s="50">
        <f t="shared" si="7"/>
        <v>-98.90000000000002</v>
      </c>
      <c r="W18" s="50">
        <f t="shared" si="7"/>
        <v>-99.1</v>
      </c>
      <c r="X18" s="50">
        <f t="shared" si="7"/>
        <v>33.299999999999976</v>
      </c>
      <c r="Y18" s="50">
        <f t="shared" si="7"/>
        <v>-109.19999999999999</v>
      </c>
      <c r="Z18" s="50">
        <f t="shared" si="7"/>
        <v>-181.60000000000002</v>
      </c>
      <c r="AA18" s="50">
        <f t="shared" si="7"/>
        <v>-191.60000000000002</v>
      </c>
      <c r="AB18" s="50">
        <f t="shared" si="7"/>
        <v>441.69999999999987</v>
      </c>
      <c r="AC18" s="50">
        <f t="shared" si="7"/>
        <v>58.400000000000041</v>
      </c>
      <c r="AD18" s="50">
        <f t="shared" si="7"/>
        <v>-6.1999999999999957</v>
      </c>
      <c r="AE18" s="50">
        <v>118.10000000000004</v>
      </c>
      <c r="AF18" s="50">
        <v>125.90000000000003</v>
      </c>
      <c r="AG18" s="50">
        <v>-35.200000000000017</v>
      </c>
      <c r="AH18" s="50">
        <v>-169.2</v>
      </c>
      <c r="AI18" s="50">
        <v>17.099999999999941</v>
      </c>
      <c r="AJ18" s="50">
        <v>-87</v>
      </c>
      <c r="AK18" s="50">
        <v>84.500000000000028</v>
      </c>
      <c r="AL18" s="50">
        <v>63.000000000000021</v>
      </c>
      <c r="AM18" s="50">
        <v>148.80000000000007</v>
      </c>
      <c r="AN18" s="50">
        <v>-20.699999999999996</v>
      </c>
      <c r="AO18" s="50">
        <v>-67.899999999999991</v>
      </c>
      <c r="AP18" s="50">
        <v>4.0999999999999774</v>
      </c>
      <c r="AQ18" s="50">
        <v>23.799999999999983</v>
      </c>
      <c r="AR18" s="50">
        <v>25.099999999999987</v>
      </c>
      <c r="AS18" s="50">
        <v>-2.0999999999999996</v>
      </c>
      <c r="AT18" s="50">
        <v>-40.599999999999994</v>
      </c>
      <c r="AU18" s="50">
        <v>-65.5</v>
      </c>
      <c r="AV18" s="50">
        <v>29.799999999999994</v>
      </c>
      <c r="AW18" s="50">
        <v>22.400000000000031</v>
      </c>
      <c r="AX18" s="50">
        <v>-35.399999999999991</v>
      </c>
      <c r="AY18" s="52"/>
    </row>
    <row r="19" spans="2:51" ht="21" customHeight="1" x14ac:dyDescent="0.3">
      <c r="B19" s="15" t="s">
        <v>90</v>
      </c>
      <c r="C19" s="49"/>
      <c r="D19" s="17">
        <v>6.1</v>
      </c>
      <c r="E19" s="17">
        <v>4.5999999999999996</v>
      </c>
      <c r="F19" s="17">
        <v>0.1</v>
      </c>
      <c r="G19" s="17">
        <v>6</v>
      </c>
      <c r="H19" s="17">
        <v>7.2</v>
      </c>
      <c r="I19" s="17">
        <v>1.3</v>
      </c>
      <c r="J19" s="17">
        <v>1.3</v>
      </c>
      <c r="K19" s="17">
        <v>4.5</v>
      </c>
      <c r="L19" s="17">
        <v>2.6</v>
      </c>
      <c r="M19" s="17">
        <v>2.1</v>
      </c>
      <c r="N19" s="17">
        <v>1.1000000000000001</v>
      </c>
      <c r="O19" s="17">
        <v>2.2999999999999998</v>
      </c>
      <c r="P19" s="17">
        <v>0.5</v>
      </c>
      <c r="Q19" s="17">
        <v>0.7</v>
      </c>
      <c r="R19" s="17">
        <v>1</v>
      </c>
      <c r="S19" s="17">
        <v>-1</v>
      </c>
      <c r="T19" s="17">
        <v>1.5</v>
      </c>
      <c r="U19" s="17">
        <v>0.8</v>
      </c>
      <c r="V19" s="17">
        <v>0.7</v>
      </c>
      <c r="W19" s="17">
        <f>5.3-SUM(X19:Z19)</f>
        <v>2.2999999999999998</v>
      </c>
      <c r="X19" s="17">
        <v>1.6</v>
      </c>
      <c r="Y19" s="17">
        <v>0.6</v>
      </c>
      <c r="Z19" s="17">
        <v>0.8</v>
      </c>
      <c r="AA19" s="17">
        <f>120.9-SUM(AB19:AD19)</f>
        <v>-7.0999999999999801</v>
      </c>
      <c r="AB19" s="17">
        <v>116</v>
      </c>
      <c r="AC19" s="17">
        <v>12.2</v>
      </c>
      <c r="AD19" s="17">
        <v>-0.2</v>
      </c>
      <c r="AE19" s="17">
        <v>30.799999999999997</v>
      </c>
      <c r="AF19" s="17">
        <v>28.1</v>
      </c>
      <c r="AG19" s="17">
        <v>-9.4</v>
      </c>
      <c r="AH19" s="17">
        <v>-40.5</v>
      </c>
      <c r="AI19" s="60">
        <v>14.799999999999997</v>
      </c>
      <c r="AJ19" s="17">
        <v>-37.4</v>
      </c>
      <c r="AK19" s="17">
        <v>23.2</v>
      </c>
      <c r="AL19" s="17">
        <v>17.600000000000001</v>
      </c>
      <c r="AM19" s="17">
        <v>50.9</v>
      </c>
      <c r="AN19" s="17">
        <v>-2.4</v>
      </c>
      <c r="AO19" s="17">
        <v>-13</v>
      </c>
      <c r="AP19" s="17">
        <v>2.9</v>
      </c>
      <c r="AQ19" s="17">
        <v>50.7</v>
      </c>
      <c r="AR19" s="17">
        <v>5.8</v>
      </c>
      <c r="AS19" s="17">
        <v>3.2</v>
      </c>
      <c r="AT19" s="17">
        <v>-6.8</v>
      </c>
      <c r="AU19" s="17">
        <v>-3.4</v>
      </c>
      <c r="AV19" s="17">
        <v>9.9</v>
      </c>
      <c r="AW19" s="17">
        <v>190.8</v>
      </c>
      <c r="AX19" s="17">
        <v>-6</v>
      </c>
      <c r="AY19" s="14"/>
    </row>
    <row r="20" spans="2:51" ht="21" customHeight="1" x14ac:dyDescent="0.3">
      <c r="B20" s="8" t="s">
        <v>91</v>
      </c>
      <c r="C20" s="49"/>
      <c r="D20" s="50">
        <f>+D18-D19</f>
        <v>-340.5999999999998</v>
      </c>
      <c r="E20" s="50">
        <f>+E18-E19</f>
        <v>538.0999999999998</v>
      </c>
      <c r="F20" s="50">
        <f>+F18-F19</f>
        <v>376.39999999999992</v>
      </c>
      <c r="G20" s="50">
        <v>149.60000000000005</v>
      </c>
      <c r="H20" s="50">
        <f t="shared" ref="H20:I20" si="8">+H18-H19</f>
        <v>12.099999999999941</v>
      </c>
      <c r="I20" s="50">
        <f t="shared" si="8"/>
        <v>-237.2</v>
      </c>
      <c r="J20" s="50">
        <f t="shared" ref="J20:AD20" si="9">+J18-J19</f>
        <v>-271.89999999999998</v>
      </c>
      <c r="K20" s="50">
        <v>-102.29999999999951</v>
      </c>
      <c r="L20" s="50">
        <f t="shared" si="9"/>
        <v>-81.400000000000006</v>
      </c>
      <c r="M20" s="50">
        <f t="shared" si="9"/>
        <v>-150.29999999999998</v>
      </c>
      <c r="N20" s="50">
        <f t="shared" si="9"/>
        <v>-130.80000000000004</v>
      </c>
      <c r="O20" s="50">
        <v>-374.5999999999998</v>
      </c>
      <c r="P20" s="50">
        <f t="shared" si="9"/>
        <v>26.300000000000004</v>
      </c>
      <c r="Q20" s="50">
        <f t="shared" si="9"/>
        <v>111.20000000000002</v>
      </c>
      <c r="R20" s="50">
        <f t="shared" si="9"/>
        <v>514.6</v>
      </c>
      <c r="S20" s="50">
        <v>-45.900000000000041</v>
      </c>
      <c r="T20" s="50">
        <f t="shared" si="9"/>
        <v>-99.200000000000017</v>
      </c>
      <c r="U20" s="50">
        <f t="shared" si="9"/>
        <v>-102.1</v>
      </c>
      <c r="V20" s="50">
        <f t="shared" si="9"/>
        <v>-99.600000000000023</v>
      </c>
      <c r="W20" s="50">
        <f t="shared" si="9"/>
        <v>-101.39999999999999</v>
      </c>
      <c r="X20" s="50">
        <f t="shared" si="9"/>
        <v>31.699999999999974</v>
      </c>
      <c r="Y20" s="50">
        <f t="shared" si="9"/>
        <v>-109.79999999999998</v>
      </c>
      <c r="Z20" s="50">
        <f t="shared" si="9"/>
        <v>-182.40000000000003</v>
      </c>
      <c r="AA20" s="50">
        <f t="shared" si="9"/>
        <v>-184.50000000000006</v>
      </c>
      <c r="AB20" s="50">
        <f t="shared" si="9"/>
        <v>325.69999999999987</v>
      </c>
      <c r="AC20" s="50">
        <f t="shared" si="9"/>
        <v>46.200000000000045</v>
      </c>
      <c r="AD20" s="50">
        <f t="shared" si="9"/>
        <v>-5.9999999999999956</v>
      </c>
      <c r="AE20" s="50">
        <v>87.30000000000004</v>
      </c>
      <c r="AF20" s="50">
        <v>97.80000000000004</v>
      </c>
      <c r="AG20" s="50">
        <v>-25.800000000000018</v>
      </c>
      <c r="AH20" s="50">
        <v>-128.69999999999999</v>
      </c>
      <c r="AI20" s="50">
        <v>2.2999999999999439</v>
      </c>
      <c r="AJ20" s="50">
        <v>-49.6</v>
      </c>
      <c r="AK20" s="50">
        <v>61.300000000000026</v>
      </c>
      <c r="AL20" s="50">
        <v>45.40000000000002</v>
      </c>
      <c r="AM20" s="50">
        <v>97.900000000000063</v>
      </c>
      <c r="AN20" s="50">
        <v>-18.299999999999997</v>
      </c>
      <c r="AO20" s="50">
        <v>-54.899999999999991</v>
      </c>
      <c r="AP20" s="50">
        <v>1.1999999999999775</v>
      </c>
      <c r="AQ20" s="50">
        <v>-26.90000000000002</v>
      </c>
      <c r="AR20" s="50">
        <v>19.299999999999986</v>
      </c>
      <c r="AS20" s="50">
        <v>-5.3</v>
      </c>
      <c r="AT20" s="50">
        <v>-33.799999999999997</v>
      </c>
      <c r="AU20" s="50">
        <v>-62.1</v>
      </c>
      <c r="AV20" s="50">
        <v>19.899999999999991</v>
      </c>
      <c r="AW20" s="50">
        <v>-168.39999999999998</v>
      </c>
      <c r="AX20" s="50">
        <v>-29.399999999999991</v>
      </c>
      <c r="AY20" s="52"/>
    </row>
    <row r="21" spans="2:51" ht="9" customHeight="1" x14ac:dyDescent="0.3"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</row>
    <row r="22" spans="2:51" ht="21" customHeight="1" x14ac:dyDescent="0.3">
      <c r="B22" s="8" t="s">
        <v>279</v>
      </c>
      <c r="C22" s="49"/>
      <c r="D22" s="50">
        <v>380.4</v>
      </c>
      <c r="E22" s="50">
        <v>689.7</v>
      </c>
      <c r="F22" s="50">
        <v>481.5</v>
      </c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2"/>
    </row>
    <row r="24" spans="2:51" ht="18.75" x14ac:dyDescent="0.3">
      <c r="B24" s="1" t="s">
        <v>139</v>
      </c>
    </row>
    <row r="25" spans="2:51" x14ac:dyDescent="0.3">
      <c r="C25" s="5"/>
      <c r="D25" s="5"/>
      <c r="E25" s="5"/>
      <c r="F25" s="5"/>
      <c r="AI25" s="5"/>
      <c r="AU25" s="36"/>
    </row>
    <row r="26" spans="2:51" x14ac:dyDescent="0.3">
      <c r="B26" s="51" t="s">
        <v>98</v>
      </c>
      <c r="C26" s="5"/>
      <c r="D26" s="5"/>
      <c r="E26" s="5"/>
      <c r="F26" s="5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5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36"/>
      <c r="AV26" s="11"/>
      <c r="AW26" s="11"/>
      <c r="AX26" s="11"/>
      <c r="AY26" s="11"/>
    </row>
    <row r="27" spans="2:51" ht="6" customHeight="1" x14ac:dyDescent="0.3">
      <c r="C27" s="5"/>
      <c r="D27" s="5"/>
      <c r="E27" s="5"/>
      <c r="F27" s="5"/>
      <c r="AI27" s="5"/>
    </row>
    <row r="28" spans="2:51" ht="15" customHeight="1" x14ac:dyDescent="0.3">
      <c r="B28" s="5" t="s">
        <v>258</v>
      </c>
      <c r="C28" s="5"/>
      <c r="D28" s="14">
        <v>707.5</v>
      </c>
      <c r="E28" s="14">
        <v>1334.3</v>
      </c>
      <c r="F28" s="14">
        <v>847.8</v>
      </c>
      <c r="G28" s="14">
        <v>1035.9000000000001</v>
      </c>
      <c r="H28" s="14">
        <v>577.70000000000005</v>
      </c>
      <c r="I28" s="14">
        <v>116.7</v>
      </c>
      <c r="J28" s="14">
        <v>0.1</v>
      </c>
      <c r="K28" s="14">
        <v>183.50000000000011</v>
      </c>
      <c r="L28" s="14">
        <v>213.7</v>
      </c>
      <c r="M28" s="14">
        <v>0.2</v>
      </c>
      <c r="N28" s="14">
        <v>336.2</v>
      </c>
      <c r="O28" s="14">
        <v>60.299999999999955</v>
      </c>
      <c r="P28" s="14">
        <v>160.19999999999999</v>
      </c>
      <c r="Q28" s="14">
        <v>320.10000000000002</v>
      </c>
      <c r="R28" s="14">
        <v>0.2</v>
      </c>
      <c r="S28" s="14">
        <v>193.90000000000003</v>
      </c>
      <c r="T28" s="14">
        <v>81.5</v>
      </c>
      <c r="U28" s="14">
        <v>0.1</v>
      </c>
      <c r="V28" s="14">
        <v>48.8</v>
      </c>
      <c r="W28" s="14">
        <f>360.5-SUM(X28:Z28)</f>
        <v>129.55499999999998</v>
      </c>
      <c r="X28" s="14">
        <v>194</v>
      </c>
      <c r="Y28" s="14">
        <v>32.545000000000002</v>
      </c>
      <c r="Z28" s="14">
        <v>4.4000000000000004</v>
      </c>
      <c r="AA28" s="14">
        <f>874.3-SUM(AB28:AD28)</f>
        <v>20.600000000000023</v>
      </c>
      <c r="AB28" s="14">
        <v>300.3</v>
      </c>
      <c r="AC28" s="14">
        <v>368</v>
      </c>
      <c r="AD28" s="14">
        <v>185.4</v>
      </c>
      <c r="AE28" s="14">
        <v>395.79999999999995</v>
      </c>
      <c r="AF28" s="14">
        <v>423.1</v>
      </c>
      <c r="AG28" s="14">
        <v>5</v>
      </c>
      <c r="AH28" s="14">
        <v>7.8999999999999995</v>
      </c>
      <c r="AI28" s="59">
        <v>0.19999999999998863</v>
      </c>
      <c r="AJ28" s="14">
        <v>0.2</v>
      </c>
      <c r="AK28" s="14">
        <v>12.5</v>
      </c>
      <c r="AL28" s="14">
        <v>64.900000000000006</v>
      </c>
      <c r="AM28" s="14">
        <v>447.90000000000009</v>
      </c>
      <c r="AN28" s="14">
        <v>190.29999999999995</v>
      </c>
      <c r="AO28" s="14">
        <v>131.9</v>
      </c>
      <c r="AP28" s="14">
        <v>254.1</v>
      </c>
      <c r="AQ28" s="14">
        <v>277.10000000000002</v>
      </c>
      <c r="AR28" s="14">
        <v>262.89999999999998</v>
      </c>
      <c r="AS28" s="14">
        <v>133.30000000000001</v>
      </c>
      <c r="AT28" s="14">
        <v>165.8</v>
      </c>
      <c r="AU28" s="14">
        <v>219.39999999999998</v>
      </c>
      <c r="AV28" s="14">
        <v>277.3</v>
      </c>
      <c r="AW28" s="14">
        <v>239.1</v>
      </c>
      <c r="AX28" s="14">
        <v>147.5</v>
      </c>
      <c r="AY28" s="14"/>
    </row>
    <row r="29" spans="2:51" ht="15" customHeight="1" x14ac:dyDescent="0.3">
      <c r="B29" s="5" t="s">
        <v>217</v>
      </c>
      <c r="C29" s="5"/>
      <c r="D29" s="14">
        <v>431.9</v>
      </c>
      <c r="E29" s="14">
        <v>312.7</v>
      </c>
      <c r="F29" s="14">
        <v>242.5</v>
      </c>
      <c r="G29" s="14">
        <v>190.50000000000011</v>
      </c>
      <c r="H29" s="14">
        <v>337.9</v>
      </c>
      <c r="I29" s="14">
        <v>234.2</v>
      </c>
      <c r="J29" s="14">
        <v>116.8</v>
      </c>
      <c r="K29" s="14">
        <v>138.39999999999998</v>
      </c>
      <c r="L29" s="14">
        <v>160.30000000000001</v>
      </c>
      <c r="M29" s="14">
        <v>126.80000000000001</v>
      </c>
      <c r="N29" s="14">
        <v>80.3</v>
      </c>
      <c r="O29" s="14">
        <v>80</v>
      </c>
      <c r="P29" s="14">
        <v>188</v>
      </c>
      <c r="Q29" s="14">
        <v>141.6</v>
      </c>
      <c r="R29" s="14">
        <v>218.1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0</v>
      </c>
      <c r="AH29" s="14">
        <v>0</v>
      </c>
      <c r="AI29" s="14">
        <v>0</v>
      </c>
      <c r="AJ29" s="14">
        <v>0</v>
      </c>
      <c r="AK29" s="14">
        <v>0</v>
      </c>
      <c r="AL29" s="14">
        <v>0</v>
      </c>
      <c r="AM29" s="14">
        <v>0</v>
      </c>
      <c r="AN29" s="14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4">
        <v>0</v>
      </c>
      <c r="AU29" s="14">
        <v>0</v>
      </c>
      <c r="AV29" s="14">
        <v>0</v>
      </c>
      <c r="AW29" s="14">
        <v>0</v>
      </c>
      <c r="AX29" s="14">
        <v>0</v>
      </c>
      <c r="AY29" s="14"/>
    </row>
    <row r="30" spans="2:51" ht="15" customHeight="1" x14ac:dyDescent="0.3">
      <c r="B30" s="5" t="s">
        <v>218</v>
      </c>
      <c r="C30" s="5"/>
      <c r="D30" s="14">
        <v>89.3</v>
      </c>
      <c r="E30" s="14">
        <v>211.5</v>
      </c>
      <c r="F30" s="14">
        <v>87.1</v>
      </c>
      <c r="G30" s="14">
        <v>23.699999999999989</v>
      </c>
      <c r="H30" s="14">
        <v>62</v>
      </c>
      <c r="I30" s="14">
        <v>143.69999999999999</v>
      </c>
      <c r="J30" s="14">
        <v>69.3</v>
      </c>
      <c r="K30" s="14">
        <v>47.100000000000023</v>
      </c>
      <c r="L30" s="14">
        <v>71.300000000000011</v>
      </c>
      <c r="M30" s="14">
        <v>146.19999999999999</v>
      </c>
      <c r="N30" s="14">
        <v>98.5</v>
      </c>
      <c r="O30" s="14">
        <v>49.099999999999966</v>
      </c>
      <c r="P30" s="14">
        <v>110.5</v>
      </c>
      <c r="Q30" s="14">
        <v>192.6</v>
      </c>
      <c r="R30" s="14">
        <v>102.8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0</v>
      </c>
      <c r="AH30" s="14">
        <v>0</v>
      </c>
      <c r="AI30" s="14">
        <v>0</v>
      </c>
      <c r="AJ30" s="14">
        <v>0</v>
      </c>
      <c r="AK30" s="14">
        <v>0</v>
      </c>
      <c r="AL30" s="14">
        <v>0</v>
      </c>
      <c r="AM30" s="14">
        <v>0</v>
      </c>
      <c r="AN30" s="14">
        <v>0</v>
      </c>
      <c r="AO30" s="14">
        <v>0</v>
      </c>
      <c r="AP30" s="14">
        <v>0</v>
      </c>
      <c r="AQ30" s="14">
        <v>0</v>
      </c>
      <c r="AR30" s="14">
        <v>0</v>
      </c>
      <c r="AS30" s="14">
        <v>0</v>
      </c>
      <c r="AT30" s="14">
        <v>0</v>
      </c>
      <c r="AU30" s="14">
        <v>0</v>
      </c>
      <c r="AV30" s="14">
        <v>0</v>
      </c>
      <c r="AW30" s="14">
        <v>0</v>
      </c>
      <c r="AX30" s="14">
        <v>0</v>
      </c>
      <c r="AY30" s="14"/>
    </row>
    <row r="31" spans="2:51" ht="15" customHeight="1" x14ac:dyDescent="0.3">
      <c r="B31" s="76" t="s">
        <v>271</v>
      </c>
      <c r="C31" s="5"/>
      <c r="D31" s="14">
        <v>54.1</v>
      </c>
      <c r="E31" s="14">
        <v>27.5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4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4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0</v>
      </c>
      <c r="AT31" s="14">
        <v>0</v>
      </c>
      <c r="AU31" s="14">
        <v>0</v>
      </c>
      <c r="AV31" s="14">
        <v>0</v>
      </c>
      <c r="AW31" s="14">
        <v>0</v>
      </c>
      <c r="AX31" s="14">
        <v>0</v>
      </c>
      <c r="AY31" s="14"/>
    </row>
    <row r="32" spans="2:51" ht="15" customHeight="1" x14ac:dyDescent="0.3">
      <c r="B32" s="76" t="s">
        <v>272</v>
      </c>
      <c r="C32" s="5"/>
      <c r="D32" s="14">
        <v>12</v>
      </c>
      <c r="E32" s="14">
        <v>7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4">
        <v>0</v>
      </c>
      <c r="AL32" s="14">
        <v>0</v>
      </c>
      <c r="AM32" s="14">
        <v>0</v>
      </c>
      <c r="AN32" s="14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4">
        <v>0</v>
      </c>
      <c r="AX32" s="14">
        <v>0</v>
      </c>
      <c r="AY32" s="14"/>
    </row>
    <row r="33" spans="2:51" ht="15" customHeight="1" x14ac:dyDescent="0.3">
      <c r="B33" s="5" t="s">
        <v>130</v>
      </c>
      <c r="C33" s="5"/>
      <c r="D33" s="14">
        <v>51.8</v>
      </c>
      <c r="E33" s="14">
        <v>37.9</v>
      </c>
      <c r="F33" s="14">
        <v>43.2</v>
      </c>
      <c r="G33" s="14">
        <v>14.400000000000006</v>
      </c>
      <c r="H33" s="14">
        <v>11.4</v>
      </c>
      <c r="I33" s="14">
        <v>38.5</v>
      </c>
      <c r="J33" s="14">
        <v>44.2</v>
      </c>
      <c r="K33" s="14">
        <v>171.1</v>
      </c>
      <c r="L33" s="14">
        <v>0</v>
      </c>
      <c r="M33" s="14">
        <v>89.1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-0.3</v>
      </c>
      <c r="T33" s="14">
        <v>0.3</v>
      </c>
      <c r="U33" s="14">
        <v>0</v>
      </c>
      <c r="V33" s="14">
        <v>0</v>
      </c>
      <c r="W33" s="14">
        <f>0-SUM(X33:Z33)</f>
        <v>0</v>
      </c>
      <c r="X33" s="14">
        <v>0</v>
      </c>
      <c r="Y33" s="14">
        <v>0</v>
      </c>
      <c r="Z33" s="14">
        <v>0</v>
      </c>
      <c r="AA33" s="14">
        <f>0-SUM(AB33:AD33)</f>
        <v>0</v>
      </c>
      <c r="AB33" s="14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0</v>
      </c>
      <c r="AH33" s="14">
        <v>0</v>
      </c>
      <c r="AI33" s="59">
        <v>243.19999999999993</v>
      </c>
      <c r="AJ33" s="14">
        <v>17.600000000000001</v>
      </c>
      <c r="AK33" s="14">
        <v>357</v>
      </c>
      <c r="AL33" s="14">
        <v>144.30000000000001</v>
      </c>
      <c r="AM33" s="14">
        <v>0</v>
      </c>
      <c r="AN33" s="14">
        <v>0</v>
      </c>
      <c r="AO33" s="14">
        <v>0</v>
      </c>
      <c r="AP33" s="14">
        <v>0</v>
      </c>
      <c r="AQ33" s="14">
        <v>0</v>
      </c>
      <c r="AR33" s="14">
        <v>0</v>
      </c>
      <c r="AS33" s="14">
        <v>0</v>
      </c>
      <c r="AT33" s="14">
        <v>0</v>
      </c>
      <c r="AU33" s="14">
        <v>0</v>
      </c>
      <c r="AV33" s="14">
        <v>0</v>
      </c>
      <c r="AW33" s="14">
        <v>0</v>
      </c>
      <c r="AX33" s="14">
        <v>0</v>
      </c>
      <c r="AY33" s="14"/>
    </row>
    <row r="34" spans="2:51" ht="15" customHeight="1" x14ac:dyDescent="0.3">
      <c r="B34" s="5" t="s">
        <v>234</v>
      </c>
      <c r="C34" s="5"/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83.1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66.5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f>SUM(X34:Z34)</f>
        <v>0</v>
      </c>
      <c r="X34" s="14">
        <v>0</v>
      </c>
      <c r="Y34" s="14">
        <v>0</v>
      </c>
      <c r="Z34" s="14">
        <v>0</v>
      </c>
      <c r="AA34" s="14">
        <f>398.5-SUM(AB34:AD34)</f>
        <v>0</v>
      </c>
      <c r="AB34" s="14">
        <v>398.5</v>
      </c>
      <c r="AC34" s="14"/>
      <c r="AD34" s="14"/>
      <c r="AE34" s="14"/>
      <c r="AF34" s="14"/>
      <c r="AG34" s="14"/>
      <c r="AH34" s="14"/>
      <c r="AI34" s="59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</row>
    <row r="35" spans="2:51" ht="15" customHeight="1" x14ac:dyDescent="0.3">
      <c r="B35" s="5" t="s">
        <v>92</v>
      </c>
      <c r="C35" s="5"/>
      <c r="D35" s="14">
        <v>29.8</v>
      </c>
      <c r="E35" s="14">
        <v>55.7</v>
      </c>
      <c r="F35" s="14">
        <v>31.5</v>
      </c>
      <c r="G35" s="14">
        <v>25.900000000000006</v>
      </c>
      <c r="H35" s="14">
        <v>14.6</v>
      </c>
      <c r="I35" s="14">
        <v>3.6</v>
      </c>
      <c r="J35" s="14">
        <v>6.6</v>
      </c>
      <c r="K35" s="14">
        <v>4.0000000000000036</v>
      </c>
      <c r="L35" s="14">
        <v>3.3</v>
      </c>
      <c r="M35" s="14">
        <v>7.7</v>
      </c>
      <c r="N35" s="14">
        <v>20.2</v>
      </c>
      <c r="O35" s="14">
        <v>39.500000000000014</v>
      </c>
      <c r="P35" s="14">
        <v>33.299999999999997</v>
      </c>
      <c r="Q35" s="14">
        <v>45.3</v>
      </c>
      <c r="R35" s="14">
        <v>44.3</v>
      </c>
      <c r="S35" s="14">
        <v>96.6</v>
      </c>
      <c r="T35" s="14">
        <v>62.3</v>
      </c>
      <c r="U35" s="14">
        <v>101.3</v>
      </c>
      <c r="V35" s="14">
        <v>78</v>
      </c>
      <c r="W35" s="14">
        <f>140.1-SUM(X35:Z35)</f>
        <v>51.704999999999984</v>
      </c>
      <c r="X35" s="14">
        <v>27.7</v>
      </c>
      <c r="Y35" s="14">
        <v>53.795000000000002</v>
      </c>
      <c r="Z35" s="14">
        <v>6.9</v>
      </c>
      <c r="AA35" s="14">
        <f>97.3-SUM(AB35:AD35)</f>
        <v>20.200000000000003</v>
      </c>
      <c r="AB35" s="14">
        <v>35.5</v>
      </c>
      <c r="AC35" s="14">
        <v>29.3</v>
      </c>
      <c r="AD35" s="14">
        <v>12.3</v>
      </c>
      <c r="AE35" s="14">
        <v>19.400000000000006</v>
      </c>
      <c r="AF35" s="14">
        <v>29.2</v>
      </c>
      <c r="AG35" s="14">
        <v>30.9</v>
      </c>
      <c r="AH35" s="14">
        <v>14.7</v>
      </c>
      <c r="AI35" s="59">
        <v>74.199999999999989</v>
      </c>
      <c r="AJ35" s="14">
        <v>61.3</v>
      </c>
      <c r="AK35" s="14">
        <v>19.600000000000001</v>
      </c>
      <c r="AL35" s="14">
        <v>25.6</v>
      </c>
      <c r="AM35" s="14">
        <v>93.3</v>
      </c>
      <c r="AN35" s="14">
        <v>34.899999999999991</v>
      </c>
      <c r="AO35" s="14">
        <v>32.600000000000009</v>
      </c>
      <c r="AP35" s="14">
        <v>31.8</v>
      </c>
      <c r="AQ35" s="14">
        <v>60.400000000000006</v>
      </c>
      <c r="AR35" s="14">
        <v>56</v>
      </c>
      <c r="AS35" s="14">
        <v>44.1</v>
      </c>
      <c r="AT35" s="14">
        <v>39.9</v>
      </c>
      <c r="AU35" s="14">
        <v>47.400000000000006</v>
      </c>
      <c r="AV35" s="14">
        <v>27.1</v>
      </c>
      <c r="AW35" s="14">
        <v>38.5</v>
      </c>
      <c r="AX35" s="14">
        <v>20.3</v>
      </c>
      <c r="AY35" s="14"/>
    </row>
    <row r="36" spans="2:51" ht="15" customHeight="1" x14ac:dyDescent="0.3">
      <c r="B36" s="15" t="s">
        <v>198</v>
      </c>
      <c r="C36" s="15"/>
      <c r="D36" s="17">
        <v>0</v>
      </c>
      <c r="E36" s="17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f>0-SUM(X36:Z36)</f>
        <v>0</v>
      </c>
      <c r="X36" s="17">
        <v>0</v>
      </c>
      <c r="Y36" s="17">
        <v>0</v>
      </c>
      <c r="Z36" s="17">
        <v>0</v>
      </c>
      <c r="AA36" s="17">
        <f>0-SUM(AB36:AD36)</f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80.7</v>
      </c>
      <c r="AH36" s="17">
        <v>0</v>
      </c>
      <c r="AI36" s="60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173</v>
      </c>
      <c r="AT36" s="17">
        <v>0</v>
      </c>
      <c r="AU36" s="17">
        <v>0</v>
      </c>
      <c r="AV36" s="17">
        <v>0</v>
      </c>
      <c r="AW36" s="17">
        <v>0</v>
      </c>
      <c r="AX36" s="17">
        <v>0</v>
      </c>
      <c r="AY36" s="14"/>
    </row>
    <row r="37" spans="2:51" ht="16.5" customHeight="1" x14ac:dyDescent="0.3">
      <c r="B37" s="8" t="s">
        <v>84</v>
      </c>
      <c r="C37" s="8"/>
      <c r="D37" s="29">
        <f t="shared" ref="D37:E37" si="10">SUM(D28:D36)</f>
        <v>1376.3999999999999</v>
      </c>
      <c r="E37" s="29">
        <f t="shared" si="10"/>
        <v>1986.6000000000001</v>
      </c>
      <c r="F37" s="29">
        <f t="shared" ref="F37" si="11">SUM(F28:F36)</f>
        <v>1252.0999999999999</v>
      </c>
      <c r="G37" s="29">
        <v>1290.4000000000003</v>
      </c>
      <c r="H37" s="29">
        <f t="shared" ref="H37:I37" si="12">SUM(H28:H36)</f>
        <v>1003.6</v>
      </c>
      <c r="I37" s="29">
        <f t="shared" si="12"/>
        <v>536.69999999999993</v>
      </c>
      <c r="J37" s="29">
        <f t="shared" ref="J37:AD37" si="13">SUM(J28:J36)</f>
        <v>320.10000000000002</v>
      </c>
      <c r="K37" s="29">
        <v>544.10000000000014</v>
      </c>
      <c r="L37" s="29">
        <f t="shared" si="13"/>
        <v>448.6</v>
      </c>
      <c r="M37" s="29">
        <f t="shared" si="13"/>
        <v>369.99999999999994</v>
      </c>
      <c r="N37" s="29">
        <f t="shared" si="13"/>
        <v>535.20000000000005</v>
      </c>
      <c r="O37" s="29">
        <v>228.89999999999992</v>
      </c>
      <c r="P37" s="29">
        <f t="shared" si="13"/>
        <v>558.5</v>
      </c>
      <c r="Q37" s="29">
        <f t="shared" si="13"/>
        <v>699.6</v>
      </c>
      <c r="R37" s="29">
        <f t="shared" si="13"/>
        <v>365.4</v>
      </c>
      <c r="S37" s="29">
        <v>290.20000000000005</v>
      </c>
      <c r="T37" s="29">
        <f t="shared" si="13"/>
        <v>144.1</v>
      </c>
      <c r="U37" s="29">
        <f t="shared" si="13"/>
        <v>101.39999999999999</v>
      </c>
      <c r="V37" s="29">
        <f t="shared" si="13"/>
        <v>126.8</v>
      </c>
      <c r="W37" s="29">
        <f t="shared" si="13"/>
        <v>181.25999999999996</v>
      </c>
      <c r="X37" s="29">
        <f t="shared" si="13"/>
        <v>221.7</v>
      </c>
      <c r="Y37" s="29">
        <f t="shared" si="13"/>
        <v>86.34</v>
      </c>
      <c r="Z37" s="29">
        <f t="shared" si="13"/>
        <v>11.3</v>
      </c>
      <c r="AA37" s="29">
        <f t="shared" si="13"/>
        <v>40.800000000000026</v>
      </c>
      <c r="AB37" s="29">
        <f t="shared" si="13"/>
        <v>734.3</v>
      </c>
      <c r="AC37" s="29">
        <f t="shared" si="13"/>
        <v>397.3</v>
      </c>
      <c r="AD37" s="29">
        <f t="shared" si="13"/>
        <v>197.70000000000002</v>
      </c>
      <c r="AE37" s="29">
        <v>415.19999999999993</v>
      </c>
      <c r="AF37" s="29">
        <v>452.3</v>
      </c>
      <c r="AG37" s="29">
        <v>116.6</v>
      </c>
      <c r="AH37" s="29">
        <v>22.599999999999998</v>
      </c>
      <c r="AI37" s="29">
        <v>317.59999999999991</v>
      </c>
      <c r="AJ37" s="29">
        <v>79.099999999999994</v>
      </c>
      <c r="AK37" s="29">
        <v>389.1</v>
      </c>
      <c r="AL37" s="29">
        <v>234.8</v>
      </c>
      <c r="AM37" s="29">
        <v>541.20000000000005</v>
      </c>
      <c r="AN37" s="29">
        <v>225.19999999999993</v>
      </c>
      <c r="AO37" s="29">
        <v>164.5</v>
      </c>
      <c r="AP37" s="29">
        <v>285.89999999999998</v>
      </c>
      <c r="AQ37" s="29">
        <v>337.5</v>
      </c>
      <c r="AR37" s="29">
        <v>318.89999999999998</v>
      </c>
      <c r="AS37" s="29">
        <v>350.40000000000003</v>
      </c>
      <c r="AT37" s="29">
        <v>205.70000000000002</v>
      </c>
      <c r="AU37" s="29">
        <v>266.79999999999995</v>
      </c>
      <c r="AV37" s="29">
        <v>304.40000000000003</v>
      </c>
      <c r="AW37" s="29">
        <v>277.60000000000002</v>
      </c>
      <c r="AX37" s="29">
        <v>167.8</v>
      </c>
      <c r="AY37" s="20"/>
    </row>
    <row r="38" spans="2:51" ht="6" customHeight="1" x14ac:dyDescent="0.3">
      <c r="C38" s="5"/>
      <c r="D38" s="5"/>
      <c r="E38" s="5"/>
      <c r="F38" s="5"/>
      <c r="AI38" s="5"/>
      <c r="AU38" s="52"/>
    </row>
    <row r="39" spans="2:51" x14ac:dyDescent="0.3">
      <c r="B39" s="38"/>
      <c r="C39" s="38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8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</row>
    <row r="40" spans="2:51" x14ac:dyDescent="0.3">
      <c r="B40" s="3" t="s">
        <v>99</v>
      </c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3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52"/>
      <c r="AV40" s="11"/>
      <c r="AW40" s="11"/>
      <c r="AX40" s="11"/>
      <c r="AY40" s="11"/>
    </row>
    <row r="41" spans="2:51" ht="6" customHeight="1" x14ac:dyDescent="0.3">
      <c r="C41" s="5"/>
      <c r="D41" s="5"/>
      <c r="E41" s="5"/>
      <c r="F41" s="5"/>
      <c r="AI41" s="5"/>
    </row>
    <row r="42" spans="2:51" ht="31.5" customHeight="1" x14ac:dyDescent="0.3">
      <c r="B42" s="38" t="s">
        <v>219</v>
      </c>
      <c r="C42" s="5"/>
      <c r="D42" s="14">
        <v>380.4</v>
      </c>
      <c r="E42" s="14">
        <v>502</v>
      </c>
      <c r="F42" s="14">
        <v>268.10000000000002</v>
      </c>
      <c r="G42" s="14">
        <v>90.600000000000023</v>
      </c>
      <c r="H42" s="14">
        <v>206.8</v>
      </c>
      <c r="I42" s="14">
        <v>235.5</v>
      </c>
      <c r="J42" s="14">
        <v>111.8</v>
      </c>
      <c r="K42" s="14">
        <v>107.5</v>
      </c>
      <c r="L42" s="14">
        <v>108.6</v>
      </c>
      <c r="M42" s="14">
        <v>118.3</v>
      </c>
      <c r="N42" s="14">
        <v>205.4</v>
      </c>
      <c r="O42" s="14">
        <v>60.800000000000068</v>
      </c>
      <c r="P42" s="14">
        <v>140.1</v>
      </c>
      <c r="Q42" s="14">
        <v>241.4</v>
      </c>
      <c r="R42" s="14">
        <v>142.30000000000001</v>
      </c>
      <c r="S42" s="14">
        <v>50.5</v>
      </c>
      <c r="T42" s="14">
        <v>24.5</v>
      </c>
      <c r="U42" s="14">
        <v>0.1</v>
      </c>
      <c r="V42" s="14">
        <v>12.2</v>
      </c>
      <c r="W42" s="14">
        <f>94.5-SUM(X42:Z42)</f>
        <v>33.747999999999998</v>
      </c>
      <c r="X42" s="14">
        <v>53.3</v>
      </c>
      <c r="Y42" s="14">
        <v>7.2519999999999998</v>
      </c>
      <c r="Z42" s="14">
        <v>0.2</v>
      </c>
      <c r="AA42" s="14">
        <f>221.2-SUM(AB42:AD42)</f>
        <v>4.8999999999999773</v>
      </c>
      <c r="AB42" s="14">
        <v>80.099999999999994</v>
      </c>
      <c r="AC42" s="14">
        <v>93.7</v>
      </c>
      <c r="AD42" s="14">
        <v>42.5</v>
      </c>
      <c r="AE42" s="14">
        <v>77.100000000000009</v>
      </c>
      <c r="AF42" s="14">
        <v>92.6</v>
      </c>
      <c r="AG42" s="14">
        <v>0.2</v>
      </c>
      <c r="AH42" s="14">
        <v>1.6</v>
      </c>
      <c r="AI42" s="14">
        <v>48.4</v>
      </c>
      <c r="AJ42" s="14">
        <v>3.5</v>
      </c>
      <c r="AK42" s="14">
        <f>1.5+73.9</f>
        <v>75.400000000000006</v>
      </c>
      <c r="AL42" s="14">
        <f>19+45.4</f>
        <v>64.400000000000006</v>
      </c>
      <c r="AM42" s="14">
        <v>140.20000000000005</v>
      </c>
      <c r="AN42" s="14">
        <v>78.299999999999983</v>
      </c>
      <c r="AO42" s="14">
        <v>63.099999999999994</v>
      </c>
      <c r="AP42" s="14">
        <v>129.5</v>
      </c>
      <c r="AQ42" s="14">
        <v>97.900000000000034</v>
      </c>
      <c r="AR42" s="14">
        <v>104.29999999999998</v>
      </c>
      <c r="AS42" s="14">
        <v>53.6</v>
      </c>
      <c r="AT42" s="14">
        <v>72.3</v>
      </c>
      <c r="AU42" s="14">
        <v>92</v>
      </c>
      <c r="AV42" s="14">
        <v>124.9</v>
      </c>
      <c r="AW42" s="14">
        <v>126.7</v>
      </c>
      <c r="AX42" s="14">
        <v>73.2</v>
      </c>
      <c r="AY42" s="14"/>
    </row>
    <row r="43" spans="2:51" ht="15" customHeight="1" x14ac:dyDescent="0.3">
      <c r="B43" s="5" t="s">
        <v>93</v>
      </c>
      <c r="C43" s="5"/>
      <c r="D43" s="14">
        <v>20.3</v>
      </c>
      <c r="E43" s="14">
        <v>39.6</v>
      </c>
      <c r="F43" s="14">
        <v>24.8</v>
      </c>
      <c r="G43" s="14">
        <v>5.8999999999999986</v>
      </c>
      <c r="H43" s="14">
        <v>9.1999999999999993</v>
      </c>
      <c r="I43" s="14">
        <v>2.6</v>
      </c>
      <c r="J43" s="14">
        <v>2.2000000000000002</v>
      </c>
      <c r="K43" s="14">
        <v>1.6999999999999993</v>
      </c>
      <c r="L43" s="14">
        <v>1.1000000000000001</v>
      </c>
      <c r="M43" s="14">
        <v>5.7</v>
      </c>
      <c r="N43" s="14">
        <v>13.5</v>
      </c>
      <c r="O43" s="14">
        <v>21.5</v>
      </c>
      <c r="P43" s="14">
        <v>23.3</v>
      </c>
      <c r="Q43" s="14">
        <v>30.3</v>
      </c>
      <c r="R43" s="14">
        <v>29.3</v>
      </c>
      <c r="S43" s="14">
        <v>67.799999999999983</v>
      </c>
      <c r="T43" s="14">
        <v>43</v>
      </c>
      <c r="U43" s="14">
        <v>65.2</v>
      </c>
      <c r="V43" s="14">
        <v>43.2</v>
      </c>
      <c r="W43" s="14">
        <f>74.3-SUM(X43:Z43)</f>
        <v>23.208999999999996</v>
      </c>
      <c r="X43" s="14">
        <v>12.1</v>
      </c>
      <c r="Y43" s="14">
        <v>34.491</v>
      </c>
      <c r="Z43" s="14">
        <v>4.5</v>
      </c>
      <c r="AA43" s="14">
        <f>61.8-SUM(AB43:AD43)</f>
        <v>22.700000000000003</v>
      </c>
      <c r="AB43" s="14">
        <v>15.1</v>
      </c>
      <c r="AC43" s="14">
        <v>17.2</v>
      </c>
      <c r="AD43" s="14">
        <v>6.8</v>
      </c>
      <c r="AE43" s="14">
        <v>13</v>
      </c>
      <c r="AF43" s="14">
        <v>12.5</v>
      </c>
      <c r="AG43" s="14">
        <v>18.100000000000001</v>
      </c>
      <c r="AH43" s="14">
        <v>9.1999999999999993</v>
      </c>
      <c r="AI43" s="59">
        <v>53</v>
      </c>
      <c r="AJ43" s="14">
        <v>28</v>
      </c>
      <c r="AK43" s="14">
        <v>17.399999999999999</v>
      </c>
      <c r="AL43" s="14">
        <v>10.3</v>
      </c>
      <c r="AM43" s="14">
        <v>40.299999999999997</v>
      </c>
      <c r="AN43" s="14">
        <v>20.2</v>
      </c>
      <c r="AO43" s="14">
        <v>16.5</v>
      </c>
      <c r="AP43" s="14">
        <v>14.7</v>
      </c>
      <c r="AQ43" s="14">
        <v>31.600000000000009</v>
      </c>
      <c r="AR43" s="14">
        <v>23.499999999999993</v>
      </c>
      <c r="AS43" s="14">
        <v>23.8</v>
      </c>
      <c r="AT43" s="14">
        <v>26.3</v>
      </c>
      <c r="AU43" s="14">
        <v>28.1</v>
      </c>
      <c r="AV43" s="14">
        <v>16.600000000000001</v>
      </c>
      <c r="AW43" s="14">
        <v>23.9</v>
      </c>
      <c r="AX43" s="14">
        <v>13.4</v>
      </c>
      <c r="AY43" s="14"/>
    </row>
    <row r="44" spans="2:51" ht="15" customHeight="1" x14ac:dyDescent="0.3">
      <c r="B44" s="5" t="s">
        <v>220</v>
      </c>
      <c r="C44" s="5"/>
      <c r="D44" s="14">
        <v>79</v>
      </c>
      <c r="E44" s="14">
        <v>71.8</v>
      </c>
      <c r="F44" s="14">
        <v>68.2</v>
      </c>
      <c r="G44" s="14">
        <v>307.3</v>
      </c>
      <c r="H44" s="14">
        <v>68.3</v>
      </c>
      <c r="I44" s="14">
        <v>68.2</v>
      </c>
      <c r="J44" s="14">
        <v>68.2</v>
      </c>
      <c r="K44" s="14">
        <v>68.299999999999955</v>
      </c>
      <c r="L44" s="14">
        <v>68.2</v>
      </c>
      <c r="M44" s="14">
        <v>68.2</v>
      </c>
      <c r="N44" s="14">
        <v>68.2</v>
      </c>
      <c r="O44" s="14">
        <v>68.299999999999955</v>
      </c>
      <c r="P44" s="14">
        <v>68.2</v>
      </c>
      <c r="Q44" s="14">
        <v>68.2</v>
      </c>
      <c r="R44" s="14">
        <v>68.2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14">
        <v>0</v>
      </c>
      <c r="AG44" s="14">
        <v>0</v>
      </c>
      <c r="AH44" s="14">
        <v>0</v>
      </c>
      <c r="AI44" s="14">
        <v>0</v>
      </c>
      <c r="AJ44" s="14">
        <v>0</v>
      </c>
      <c r="AK44" s="14">
        <v>0</v>
      </c>
      <c r="AL44" s="14">
        <v>0</v>
      </c>
      <c r="AM44" s="14">
        <v>0</v>
      </c>
      <c r="AN44" s="14">
        <v>0</v>
      </c>
      <c r="AO44" s="14">
        <v>0</v>
      </c>
      <c r="AP44" s="14">
        <v>0</v>
      </c>
      <c r="AQ44" s="14">
        <v>0</v>
      </c>
      <c r="AR44" s="14">
        <v>0</v>
      </c>
      <c r="AS44" s="14">
        <v>0</v>
      </c>
      <c r="AT44" s="14">
        <v>0</v>
      </c>
      <c r="AU44" s="14">
        <v>0</v>
      </c>
      <c r="AV44" s="14">
        <v>0</v>
      </c>
      <c r="AW44" s="14">
        <v>0</v>
      </c>
      <c r="AX44" s="14">
        <v>0</v>
      </c>
      <c r="AY44" s="14"/>
    </row>
    <row r="45" spans="2:51" ht="15" customHeight="1" x14ac:dyDescent="0.3">
      <c r="B45" s="15" t="s">
        <v>94</v>
      </c>
      <c r="C45" s="15"/>
      <c r="D45" s="17">
        <v>34.700000000000003</v>
      </c>
      <c r="E45" s="17">
        <v>70.3</v>
      </c>
      <c r="F45" s="17">
        <v>67.3</v>
      </c>
      <c r="G45" s="17">
        <v>-61.600000000000023</v>
      </c>
      <c r="H45" s="17">
        <v>99.5</v>
      </c>
      <c r="I45" s="17">
        <v>125</v>
      </c>
      <c r="J45" s="17">
        <v>110</v>
      </c>
      <c r="K45" s="17">
        <v>209.59999999999997</v>
      </c>
      <c r="L45" s="17">
        <v>136</v>
      </c>
      <c r="M45" s="17">
        <v>57.1</v>
      </c>
      <c r="N45" s="17">
        <v>90.2</v>
      </c>
      <c r="O45" s="17">
        <v>176.29999999999998</v>
      </c>
      <c r="P45" s="17">
        <v>14</v>
      </c>
      <c r="Q45" s="17">
        <v>39.6</v>
      </c>
      <c r="R45" s="17">
        <v>3.3</v>
      </c>
      <c r="S45" s="17">
        <v>16.399999999999999</v>
      </c>
      <c r="T45" s="17">
        <v>25.3</v>
      </c>
      <c r="U45" s="17">
        <v>-15.5</v>
      </c>
      <c r="V45" s="17">
        <v>22.099999999999998</v>
      </c>
      <c r="W45" s="17">
        <f>86.3-SUM(X45:Z45)</f>
        <v>52.988</v>
      </c>
      <c r="X45" s="17">
        <v>15.1</v>
      </c>
      <c r="Y45" s="17">
        <v>3.8119999999999998</v>
      </c>
      <c r="Z45" s="17">
        <v>14.4</v>
      </c>
      <c r="AA45" s="17">
        <f>7.6-SUM(AB45:AD45)</f>
        <v>-12.900000000000004</v>
      </c>
      <c r="AB45" s="17">
        <v>3.5</v>
      </c>
      <c r="AC45" s="17">
        <v>16.200000000000003</v>
      </c>
      <c r="AD45" s="17">
        <v>0.8</v>
      </c>
      <c r="AE45" s="17">
        <v>15.399999999999999</v>
      </c>
      <c r="AF45" s="17">
        <v>40</v>
      </c>
      <c r="AG45" s="17">
        <v>10</v>
      </c>
      <c r="AH45" s="17">
        <v>8.1</v>
      </c>
      <c r="AI45" s="60">
        <v>68.100000000000023</v>
      </c>
      <c r="AJ45" s="17">
        <v>12</v>
      </c>
      <c r="AK45" s="17">
        <v>17.199999999999996</v>
      </c>
      <c r="AL45" s="17">
        <v>17.399999999999991</v>
      </c>
      <c r="AM45" s="17">
        <v>-13.5</v>
      </c>
      <c r="AN45" s="17">
        <v>0.59999999999999964</v>
      </c>
      <c r="AO45" s="17">
        <v>5</v>
      </c>
      <c r="AP45" s="17">
        <v>0.2</v>
      </c>
      <c r="AQ45" s="17">
        <v>8.3999999999999986</v>
      </c>
      <c r="AR45" s="17">
        <v>7.2999999999999972</v>
      </c>
      <c r="AS45" s="17">
        <v>3.1</v>
      </c>
      <c r="AT45" s="17">
        <v>32.6</v>
      </c>
      <c r="AU45" s="17">
        <v>14.299999999999999</v>
      </c>
      <c r="AV45" s="17">
        <v>4.2</v>
      </c>
      <c r="AW45" s="17">
        <v>-8.5</v>
      </c>
      <c r="AX45" s="17">
        <v>4.7</v>
      </c>
      <c r="AY45" s="14"/>
    </row>
    <row r="46" spans="2:51" x14ac:dyDescent="0.3">
      <c r="B46" s="8" t="s">
        <v>85</v>
      </c>
      <c r="C46" s="8"/>
      <c r="D46" s="50">
        <f t="shared" ref="D46:E46" si="14">SUM(D42:D45)</f>
        <v>514.4</v>
      </c>
      <c r="E46" s="50">
        <f t="shared" si="14"/>
        <v>683.69999999999993</v>
      </c>
      <c r="F46" s="50">
        <f t="shared" ref="F46" si="15">SUM(F42:F45)</f>
        <v>428.40000000000003</v>
      </c>
      <c r="G46" s="50">
        <v>342.20000000000005</v>
      </c>
      <c r="H46" s="50">
        <f t="shared" ref="H46:I46" si="16">SUM(H42:H45)</f>
        <v>383.8</v>
      </c>
      <c r="I46" s="50">
        <f t="shared" si="16"/>
        <v>431.3</v>
      </c>
      <c r="J46" s="50">
        <f t="shared" ref="J46" si="17">SUM(J42:J45)</f>
        <v>292.2</v>
      </c>
      <c r="K46" s="50">
        <v>387.09999999999991</v>
      </c>
      <c r="L46" s="50">
        <f t="shared" ref="L46:M46" si="18">SUM(L42:L45)</f>
        <v>313.89999999999998</v>
      </c>
      <c r="M46" s="50">
        <f t="shared" si="18"/>
        <v>249.29999999999998</v>
      </c>
      <c r="N46" s="50">
        <f t="shared" ref="N46:P46" si="19">SUM(N42:N45)</f>
        <v>377.3</v>
      </c>
      <c r="O46" s="50">
        <v>326.89999999999998</v>
      </c>
      <c r="P46" s="50">
        <f t="shared" si="19"/>
        <v>245.60000000000002</v>
      </c>
      <c r="Q46" s="50">
        <f t="shared" ref="Q46:AD46" si="20">SUM(Q42:Q45)</f>
        <v>379.5</v>
      </c>
      <c r="R46" s="50">
        <f t="shared" si="20"/>
        <v>243.10000000000002</v>
      </c>
      <c r="S46" s="50">
        <v>134.69999999999999</v>
      </c>
      <c r="T46" s="50">
        <f t="shared" si="20"/>
        <v>92.8</v>
      </c>
      <c r="U46" s="50">
        <f t="shared" si="20"/>
        <v>49.8</v>
      </c>
      <c r="V46" s="50">
        <f t="shared" si="20"/>
        <v>77.5</v>
      </c>
      <c r="W46" s="50">
        <f t="shared" si="20"/>
        <v>109.94499999999999</v>
      </c>
      <c r="X46" s="50">
        <f t="shared" si="20"/>
        <v>80.499999999999986</v>
      </c>
      <c r="Y46" s="50">
        <f t="shared" si="20"/>
        <v>45.555</v>
      </c>
      <c r="Z46" s="50">
        <f t="shared" si="20"/>
        <v>19.100000000000001</v>
      </c>
      <c r="AA46" s="50">
        <f t="shared" si="20"/>
        <v>14.699999999999976</v>
      </c>
      <c r="AB46" s="50">
        <f t="shared" si="20"/>
        <v>98.699999999999989</v>
      </c>
      <c r="AC46" s="50">
        <f t="shared" si="20"/>
        <v>127.10000000000001</v>
      </c>
      <c r="AD46" s="50">
        <f t="shared" si="20"/>
        <v>50.099999999999994</v>
      </c>
      <c r="AE46" s="50">
        <v>105.5</v>
      </c>
      <c r="AF46" s="50">
        <v>145.1</v>
      </c>
      <c r="AG46" s="50">
        <v>28.3</v>
      </c>
      <c r="AH46" s="50">
        <v>18.899999999999999</v>
      </c>
      <c r="AI46" s="50">
        <v>169.5</v>
      </c>
      <c r="AJ46" s="50">
        <v>43.5</v>
      </c>
      <c r="AK46" s="50">
        <v>110</v>
      </c>
      <c r="AL46" s="50">
        <v>92.1</v>
      </c>
      <c r="AM46" s="50">
        <v>167.00000000000006</v>
      </c>
      <c r="AN46" s="50">
        <v>99.09999999999998</v>
      </c>
      <c r="AO46" s="50">
        <v>84.6</v>
      </c>
      <c r="AP46" s="50">
        <v>144.39999999999998</v>
      </c>
      <c r="AQ46" s="50">
        <v>137.90000000000006</v>
      </c>
      <c r="AR46" s="50">
        <v>135.09999999999997</v>
      </c>
      <c r="AS46" s="50">
        <v>80.5</v>
      </c>
      <c r="AT46" s="50">
        <v>131.19999999999999</v>
      </c>
      <c r="AU46" s="50">
        <v>134.4</v>
      </c>
      <c r="AV46" s="50">
        <v>145.69999999999999</v>
      </c>
      <c r="AW46" s="50">
        <v>142.1</v>
      </c>
      <c r="AX46" s="50">
        <v>91.300000000000011</v>
      </c>
      <c r="AY46" s="52"/>
    </row>
    <row r="47" spans="2:51" x14ac:dyDescent="0.3">
      <c r="C47" s="5"/>
      <c r="D47" s="5"/>
      <c r="E47" s="5"/>
      <c r="F47" s="5"/>
      <c r="AI47" s="5"/>
    </row>
    <row r="48" spans="2:51" x14ac:dyDescent="0.3">
      <c r="B48" s="3" t="s">
        <v>100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V48" s="3"/>
      <c r="AW48" s="3"/>
      <c r="AX48" s="3"/>
      <c r="AY48" s="3"/>
    </row>
    <row r="49" spans="2:51" ht="6" customHeight="1" x14ac:dyDescent="0.3">
      <c r="C49" s="5"/>
      <c r="D49" s="5"/>
      <c r="E49" s="5"/>
      <c r="F49" s="5"/>
      <c r="AI49" s="5"/>
    </row>
    <row r="50" spans="2:51" ht="30" x14ac:dyDescent="0.3">
      <c r="B50" s="38" t="s">
        <v>109</v>
      </c>
      <c r="C50" s="38"/>
      <c r="D50" s="14">
        <v>442.8</v>
      </c>
      <c r="E50" s="14">
        <v>543.19999999999993</v>
      </c>
      <c r="F50" s="14">
        <v>322.79999999999995</v>
      </c>
      <c r="G50" s="14">
        <v>539.20000000000005</v>
      </c>
      <c r="H50" s="14">
        <v>369.29999999999995</v>
      </c>
      <c r="I50" s="14">
        <v>187.5</v>
      </c>
      <c r="J50" s="14">
        <v>107</v>
      </c>
      <c r="K50" s="14">
        <v>107.19999999999999</v>
      </c>
      <c r="L50" s="14">
        <v>75.599999999999994</v>
      </c>
      <c r="M50" s="14">
        <v>102.8</v>
      </c>
      <c r="N50" s="14">
        <v>135.6</v>
      </c>
      <c r="O50" s="14">
        <v>136.50000000000006</v>
      </c>
      <c r="P50" s="14">
        <v>125.6</v>
      </c>
      <c r="Q50" s="14">
        <v>88.3</v>
      </c>
      <c r="R50" s="14">
        <v>95.399999999999991</v>
      </c>
      <c r="S50" s="14">
        <v>188.80000000000007</v>
      </c>
      <c r="T50" s="14">
        <v>134.19999999999999</v>
      </c>
      <c r="U50" s="14">
        <v>158.6</v>
      </c>
      <c r="V50" s="14">
        <v>146.9</v>
      </c>
      <c r="W50" s="14">
        <f>460.6-SUM(X50:Z50)</f>
        <v>132.91000000000003</v>
      </c>
      <c r="X50" s="14">
        <v>84</v>
      </c>
      <c r="Y50" s="14">
        <v>122.59</v>
      </c>
      <c r="Z50" s="14">
        <v>121.10000000000001</v>
      </c>
      <c r="AA50" s="14">
        <f>519.2-SUM(AB50:AD50)</f>
        <v>166.90000000000003</v>
      </c>
      <c r="AB50" s="14">
        <v>155.6</v>
      </c>
      <c r="AC50" s="14">
        <v>103</v>
      </c>
      <c r="AD50" s="14">
        <v>93.7</v>
      </c>
      <c r="AE50" s="14">
        <v>129.09999999999997</v>
      </c>
      <c r="AF50" s="14">
        <v>112.6</v>
      </c>
      <c r="AG50" s="14">
        <v>114.2</v>
      </c>
      <c r="AH50" s="14">
        <v>120.5</v>
      </c>
      <c r="AI50" s="14">
        <v>152.70000000000005</v>
      </c>
      <c r="AJ50" s="14">
        <v>108.1</v>
      </c>
      <c r="AK50" s="14">
        <v>123.19999999999999</v>
      </c>
      <c r="AL50" s="14">
        <v>133.6</v>
      </c>
      <c r="AM50" s="14">
        <v>193.10000000000002</v>
      </c>
      <c r="AN50" s="14">
        <v>146.10000000000002</v>
      </c>
      <c r="AO50" s="14">
        <v>122.39999999999999</v>
      </c>
      <c r="AP50" s="14">
        <v>110.4</v>
      </c>
      <c r="AQ50" s="14">
        <v>148</v>
      </c>
      <c r="AR50" s="14">
        <v>156</v>
      </c>
      <c r="AS50" s="14">
        <v>142.1</v>
      </c>
      <c r="AT50" s="14">
        <v>110</v>
      </c>
      <c r="AU50" s="14">
        <v>163.9</v>
      </c>
      <c r="AV50" s="14">
        <v>96.199999999999989</v>
      </c>
      <c r="AW50" s="14">
        <v>98.7</v>
      </c>
      <c r="AX50" s="14">
        <v>78.5</v>
      </c>
      <c r="AY50" s="14"/>
    </row>
    <row r="51" spans="2:51" x14ac:dyDescent="0.3">
      <c r="B51" s="38" t="s">
        <v>95</v>
      </c>
      <c r="C51" s="38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38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2:51" ht="30" customHeight="1" x14ac:dyDescent="0.3">
      <c r="B52" s="38" t="s">
        <v>96</v>
      </c>
      <c r="C52" s="38"/>
      <c r="D52" s="14">
        <v>-20.3</v>
      </c>
      <c r="E52" s="14">
        <v>-39.6</v>
      </c>
      <c r="F52" s="14">
        <v>-24.8</v>
      </c>
      <c r="G52" s="14">
        <v>-5.8999999999999986</v>
      </c>
      <c r="H52" s="14">
        <v>-9.1999999999999993</v>
      </c>
      <c r="I52" s="14">
        <v>-2.6</v>
      </c>
      <c r="J52" s="14">
        <v>-2.2000000000000002</v>
      </c>
      <c r="K52" s="14">
        <v>-1.6999999999999993</v>
      </c>
      <c r="L52" s="14">
        <v>-1.1000000000000001</v>
      </c>
      <c r="M52" s="14">
        <v>-5.7</v>
      </c>
      <c r="N52" s="14">
        <v>-13.5</v>
      </c>
      <c r="O52" s="14">
        <v>-21.5</v>
      </c>
      <c r="P52" s="14">
        <v>-23.3</v>
      </c>
      <c r="Q52" s="14">
        <v>-30.3</v>
      </c>
      <c r="R52" s="14">
        <v>-29.3</v>
      </c>
      <c r="S52" s="14">
        <v>-67.799999999999983</v>
      </c>
      <c r="T52" s="14">
        <v>-43</v>
      </c>
      <c r="U52" s="14">
        <v>-65.2</v>
      </c>
      <c r="V52" s="14">
        <v>-43.2</v>
      </c>
      <c r="W52" s="14">
        <f>-74.3-SUM(X52:Z52)</f>
        <v>-23.208999999999996</v>
      </c>
      <c r="X52" s="14">
        <v>-12.1</v>
      </c>
      <c r="Y52" s="14">
        <v>-34.491</v>
      </c>
      <c r="Z52" s="14">
        <v>-4.5</v>
      </c>
      <c r="AA52" s="14">
        <f>-61.8-SUM(AB52:AD52)</f>
        <v>-22.700000000000003</v>
      </c>
      <c r="AB52" s="14">
        <v>-15.1</v>
      </c>
      <c r="AC52" s="14">
        <v>-17.2</v>
      </c>
      <c r="AD52" s="14">
        <v>-6.8</v>
      </c>
      <c r="AE52" s="14">
        <v>-12.900000000000006</v>
      </c>
      <c r="AF52" s="14">
        <v>-12.5</v>
      </c>
      <c r="AG52" s="14">
        <v>-18.100000000000001</v>
      </c>
      <c r="AH52" s="14">
        <v>-9.1999999999999993</v>
      </c>
      <c r="AI52" s="14">
        <v>-53</v>
      </c>
      <c r="AJ52" s="14">
        <v>-28</v>
      </c>
      <c r="AK52" s="14">
        <v>-17.399999999999999</v>
      </c>
      <c r="AL52" s="14">
        <v>-10.3</v>
      </c>
      <c r="AM52" s="14">
        <v>-40.299999999999997</v>
      </c>
      <c r="AN52" s="14">
        <v>-20.2</v>
      </c>
      <c r="AO52" s="14">
        <v>-16.5</v>
      </c>
      <c r="AP52" s="14">
        <v>-14.7</v>
      </c>
      <c r="AQ52" s="14">
        <v>-31.600000000000009</v>
      </c>
      <c r="AR52" s="14">
        <v>-23.499999999999993</v>
      </c>
      <c r="AS52" s="14">
        <v>-23.8</v>
      </c>
      <c r="AT52" s="14">
        <v>-26.3</v>
      </c>
      <c r="AU52" s="14">
        <v>-28.1</v>
      </c>
      <c r="AV52" s="14">
        <v>-16.600000000000001</v>
      </c>
      <c r="AW52" s="14">
        <v>-23.9</v>
      </c>
      <c r="AX52" s="14">
        <v>-13.4</v>
      </c>
      <c r="AY52" s="14"/>
    </row>
    <row r="53" spans="2:51" x14ac:dyDescent="0.3">
      <c r="B53" s="38" t="s">
        <v>280</v>
      </c>
      <c r="C53" s="38"/>
      <c r="D53" s="14">
        <v>557.70000000000005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4">
        <v>0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4">
        <v>0</v>
      </c>
      <c r="AV53" s="14">
        <v>0</v>
      </c>
      <c r="AW53" s="14">
        <v>0</v>
      </c>
      <c r="AX53" s="14">
        <v>0</v>
      </c>
      <c r="AY53" s="14"/>
    </row>
    <row r="54" spans="2:51" x14ac:dyDescent="0.3">
      <c r="B54" s="15" t="s">
        <v>97</v>
      </c>
      <c r="C54" s="15"/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f>0-SUM(X54:Z54)</f>
        <v>0</v>
      </c>
      <c r="X54" s="17">
        <v>0</v>
      </c>
      <c r="Y54" s="17">
        <v>0</v>
      </c>
      <c r="Z54" s="17">
        <v>0</v>
      </c>
      <c r="AA54" s="17">
        <f>-8.5-SUM(AB54:AD54)</f>
        <v>-1.7999999999999998</v>
      </c>
      <c r="AB54" s="17">
        <v>-2.6</v>
      </c>
      <c r="AC54" s="17">
        <v>-2.4</v>
      </c>
      <c r="AD54" s="17">
        <v>-1.7</v>
      </c>
      <c r="AE54" s="17">
        <v>-7.8000000000000007</v>
      </c>
      <c r="AF54" s="17">
        <v>-7.2</v>
      </c>
      <c r="AG54" s="17">
        <v>-7</v>
      </c>
      <c r="AH54" s="17">
        <v>-7.2</v>
      </c>
      <c r="AI54" s="17">
        <v>-9.6000000000000014</v>
      </c>
      <c r="AJ54" s="17">
        <v>-2.6</v>
      </c>
      <c r="AK54" s="17">
        <v>-5.3999999999999995</v>
      </c>
      <c r="AL54" s="17">
        <v>-7.2</v>
      </c>
      <c r="AM54" s="17">
        <v>-7.5</v>
      </c>
      <c r="AN54" s="17">
        <v>-11.799999999999997</v>
      </c>
      <c r="AO54" s="17">
        <v>-9.5</v>
      </c>
      <c r="AP54" s="17">
        <v>-18.100000000000001</v>
      </c>
      <c r="AQ54" s="17">
        <v>-18.599999999999994</v>
      </c>
      <c r="AR54" s="17">
        <v>-45.7</v>
      </c>
      <c r="AS54" s="17">
        <v>-27.8</v>
      </c>
      <c r="AT54" s="17">
        <v>-10.199999999999999</v>
      </c>
      <c r="AU54" s="17">
        <v>-7.8999999999999995</v>
      </c>
      <c r="AV54" s="17">
        <v>-3</v>
      </c>
      <c r="AW54" s="17">
        <v>-2.8</v>
      </c>
      <c r="AX54" s="17">
        <v>-1.5</v>
      </c>
      <c r="AY54" s="14"/>
    </row>
    <row r="55" spans="2:51" ht="16.5" customHeight="1" x14ac:dyDescent="0.3">
      <c r="B55" s="38"/>
      <c r="C55" s="38"/>
      <c r="D55" s="14">
        <f t="shared" ref="D55:E55" si="21">SUM(D50:D54)</f>
        <v>980.2</v>
      </c>
      <c r="E55" s="14">
        <f t="shared" si="21"/>
        <v>503.59999999999991</v>
      </c>
      <c r="F55" s="14">
        <f t="shared" ref="F55" si="22">SUM(F50:F54)</f>
        <v>297.99999999999994</v>
      </c>
      <c r="G55" s="14">
        <v>533.30000000000007</v>
      </c>
      <c r="H55" s="14">
        <f t="shared" ref="H55:I55" si="23">SUM(H50:H54)</f>
        <v>360.09999999999997</v>
      </c>
      <c r="I55" s="14">
        <f t="shared" si="23"/>
        <v>184.9</v>
      </c>
      <c r="J55" s="14">
        <f t="shared" ref="J55" si="24">SUM(J50:J54)</f>
        <v>104.8</v>
      </c>
      <c r="K55" s="14">
        <v>105.49999999999999</v>
      </c>
      <c r="L55" s="14">
        <f t="shared" ref="L55:M55" si="25">SUM(L50:L54)</f>
        <v>74.5</v>
      </c>
      <c r="M55" s="14">
        <f t="shared" si="25"/>
        <v>97.1</v>
      </c>
      <c r="N55" s="14">
        <f t="shared" ref="N55:P55" si="26">SUM(N50:N54)</f>
        <v>122.1</v>
      </c>
      <c r="O55" s="14">
        <v>115.00000000000006</v>
      </c>
      <c r="P55" s="14">
        <f t="shared" si="26"/>
        <v>102.3</v>
      </c>
      <c r="Q55" s="14">
        <f t="shared" ref="Q55:R55" si="27">SUM(Q50:Q54)</f>
        <v>58</v>
      </c>
      <c r="R55" s="14">
        <f t="shared" si="27"/>
        <v>66.099999999999994</v>
      </c>
      <c r="S55" s="14">
        <v>121.00000000000009</v>
      </c>
      <c r="T55" s="14">
        <f t="shared" ref="T55:U55" si="28">SUM(T50:T54)</f>
        <v>91.199999999999989</v>
      </c>
      <c r="U55" s="14">
        <f t="shared" si="28"/>
        <v>93.399999999999991</v>
      </c>
      <c r="V55" s="14">
        <f t="shared" ref="V55:X55" si="29">SUM(V50:V54)</f>
        <v>103.7</v>
      </c>
      <c r="W55" s="14">
        <f t="shared" ref="W55" si="30">SUM(W50:W54)</f>
        <v>109.70100000000002</v>
      </c>
      <c r="X55" s="14">
        <f t="shared" si="29"/>
        <v>71.900000000000006</v>
      </c>
      <c r="Y55" s="14">
        <f t="shared" ref="Y55:Z55" si="31">SUM(Y50:Y54)</f>
        <v>88.099000000000004</v>
      </c>
      <c r="Z55" s="14">
        <f t="shared" si="31"/>
        <v>116.60000000000001</v>
      </c>
      <c r="AA55" s="14">
        <f t="shared" ref="AA55:AB55" si="32">SUM(AA50:AA54)</f>
        <v>142.40000000000003</v>
      </c>
      <c r="AB55" s="14">
        <f t="shared" si="32"/>
        <v>137.9</v>
      </c>
      <c r="AC55" s="14">
        <f t="shared" ref="AC55:AD55" si="33">SUM(AC50:AC54)</f>
        <v>83.399999999999991</v>
      </c>
      <c r="AD55" s="14">
        <f t="shared" si="33"/>
        <v>85.2</v>
      </c>
      <c r="AE55" s="14">
        <v>108.39999999999996</v>
      </c>
      <c r="AF55" s="14">
        <v>92.899999999999991</v>
      </c>
      <c r="AG55" s="14">
        <v>89.1</v>
      </c>
      <c r="AH55" s="14">
        <v>104.1</v>
      </c>
      <c r="AI55" s="14">
        <v>90.100000000000051</v>
      </c>
      <c r="AJ55" s="14">
        <v>77.5</v>
      </c>
      <c r="AK55" s="14">
        <v>100.39999999999998</v>
      </c>
      <c r="AL55" s="14">
        <v>116.1</v>
      </c>
      <c r="AM55" s="14">
        <v>145.30000000000001</v>
      </c>
      <c r="AN55" s="14">
        <v>114.10000000000002</v>
      </c>
      <c r="AO55" s="14">
        <v>96.399999999999991</v>
      </c>
      <c r="AP55" s="14">
        <v>77.599999999999994</v>
      </c>
      <c r="AQ55" s="14">
        <v>97.8</v>
      </c>
      <c r="AR55" s="14">
        <v>86.8</v>
      </c>
      <c r="AS55" s="14">
        <v>90.5</v>
      </c>
      <c r="AT55" s="14">
        <v>73.5</v>
      </c>
      <c r="AU55" s="14">
        <v>127.9</v>
      </c>
      <c r="AV55" s="14">
        <v>76.599999999999994</v>
      </c>
      <c r="AW55" s="14">
        <v>72.000000000000014</v>
      </c>
      <c r="AX55" s="14">
        <v>63.599999999999994</v>
      </c>
      <c r="AY55" s="14"/>
    </row>
    <row r="56" spans="2:51" ht="45.75" customHeight="1" x14ac:dyDescent="0.3">
      <c r="B56" s="53" t="s">
        <v>201</v>
      </c>
      <c r="C56" s="53"/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f>0-SUM(X56:Z56)</f>
        <v>0</v>
      </c>
      <c r="X56" s="17">
        <v>0</v>
      </c>
      <c r="Y56" s="17">
        <v>0</v>
      </c>
      <c r="Z56" s="17">
        <v>0</v>
      </c>
      <c r="AA56" s="17">
        <f>69.5-SUM(AB56:AD56)</f>
        <v>2.7000000000000028</v>
      </c>
      <c r="AB56" s="17">
        <v>23.5</v>
      </c>
      <c r="AC56" s="17">
        <v>28.2</v>
      </c>
      <c r="AD56" s="17">
        <v>15.1</v>
      </c>
      <c r="AE56" s="17">
        <v>30.4</v>
      </c>
      <c r="AF56" s="17">
        <v>38.1</v>
      </c>
      <c r="AG56" s="17">
        <v>0</v>
      </c>
      <c r="AH56" s="17">
        <v>0.2</v>
      </c>
      <c r="AI56" s="17">
        <v>-0.20000000000000018</v>
      </c>
      <c r="AJ56" s="17">
        <v>0.2</v>
      </c>
      <c r="AK56" s="17">
        <v>0.20000000000000018</v>
      </c>
      <c r="AL56" s="17">
        <v>2.5</v>
      </c>
      <c r="AM56" s="17">
        <v>20.100000000000001</v>
      </c>
      <c r="AN56" s="17">
        <v>7.7999999999999972</v>
      </c>
      <c r="AO56" s="17">
        <v>5.9000000000000021</v>
      </c>
      <c r="AP56" s="17">
        <v>11.7</v>
      </c>
      <c r="AQ56" s="17">
        <v>13.800000000000011</v>
      </c>
      <c r="AR56" s="17">
        <v>15.899999999999991</v>
      </c>
      <c r="AS56" s="17">
        <v>118.3</v>
      </c>
      <c r="AT56" s="17">
        <v>0</v>
      </c>
      <c r="AU56" s="17">
        <v>0</v>
      </c>
      <c r="AV56" s="17">
        <v>0</v>
      </c>
      <c r="AW56" s="17">
        <v>0</v>
      </c>
      <c r="AX56" s="17">
        <v>0</v>
      </c>
      <c r="AY56" s="14"/>
    </row>
    <row r="57" spans="2:51" s="3" customFormat="1" ht="16.5" customHeight="1" x14ac:dyDescent="0.3">
      <c r="B57" s="54" t="s">
        <v>87</v>
      </c>
      <c r="C57" s="54"/>
      <c r="D57" s="55">
        <f t="shared" ref="D57:E57" si="34">+D55+D56</f>
        <v>980.2</v>
      </c>
      <c r="E57" s="55">
        <f t="shared" si="34"/>
        <v>503.59999999999991</v>
      </c>
      <c r="F57" s="55">
        <f t="shared" ref="F57" si="35">+F55+F56</f>
        <v>297.99999999999994</v>
      </c>
      <c r="G57" s="55">
        <v>533.30000000000007</v>
      </c>
      <c r="H57" s="55">
        <f t="shared" ref="H57:I57" si="36">+H55+H56</f>
        <v>360.09999999999997</v>
      </c>
      <c r="I57" s="55">
        <f t="shared" si="36"/>
        <v>184.9</v>
      </c>
      <c r="J57" s="55">
        <f t="shared" ref="J57" si="37">+J55+J56</f>
        <v>104.8</v>
      </c>
      <c r="K57" s="55">
        <v>105.49999999999999</v>
      </c>
      <c r="L57" s="55">
        <f t="shared" ref="L57:M57" si="38">+L55+L56</f>
        <v>74.5</v>
      </c>
      <c r="M57" s="55">
        <f t="shared" si="38"/>
        <v>97.1</v>
      </c>
      <c r="N57" s="55">
        <f t="shared" ref="N57:P57" si="39">+N55+N56</f>
        <v>122.1</v>
      </c>
      <c r="O57" s="55">
        <v>115.00000000000006</v>
      </c>
      <c r="P57" s="55">
        <f t="shared" si="39"/>
        <v>102.3</v>
      </c>
      <c r="Q57" s="55">
        <f t="shared" ref="Q57:R57" si="40">+Q55+Q56</f>
        <v>58</v>
      </c>
      <c r="R57" s="55">
        <f t="shared" si="40"/>
        <v>66.099999999999994</v>
      </c>
      <c r="S57" s="55">
        <v>121.00000000000009</v>
      </c>
      <c r="T57" s="55">
        <f t="shared" ref="T57:U57" si="41">+T55+T56</f>
        <v>91.199999999999989</v>
      </c>
      <c r="U57" s="55">
        <f t="shared" si="41"/>
        <v>93.399999999999991</v>
      </c>
      <c r="V57" s="55">
        <f t="shared" ref="V57:X57" si="42">+V55+V56</f>
        <v>103.7</v>
      </c>
      <c r="W57" s="55">
        <f t="shared" ref="W57" si="43">+W55+W56</f>
        <v>109.70100000000002</v>
      </c>
      <c r="X57" s="55">
        <f t="shared" si="42"/>
        <v>71.900000000000006</v>
      </c>
      <c r="Y57" s="55">
        <f t="shared" ref="Y57:Z57" si="44">+Y55+Y56</f>
        <v>88.099000000000004</v>
      </c>
      <c r="Z57" s="55">
        <f t="shared" si="44"/>
        <v>116.60000000000001</v>
      </c>
      <c r="AA57" s="55">
        <f t="shared" ref="AA57:AB57" si="45">+AA55+AA56</f>
        <v>145.10000000000002</v>
      </c>
      <c r="AB57" s="55">
        <f t="shared" si="45"/>
        <v>161.4</v>
      </c>
      <c r="AC57" s="55">
        <f t="shared" ref="AC57:AD57" si="46">+AC55+AC56</f>
        <v>111.6</v>
      </c>
      <c r="AD57" s="55">
        <f t="shared" si="46"/>
        <v>100.3</v>
      </c>
      <c r="AE57" s="55">
        <v>138.79999999999995</v>
      </c>
      <c r="AF57" s="55">
        <v>131</v>
      </c>
      <c r="AG57" s="55">
        <v>89.1</v>
      </c>
      <c r="AH57" s="55">
        <v>104.3</v>
      </c>
      <c r="AI57" s="55">
        <v>89.900000000000048</v>
      </c>
      <c r="AJ57" s="55">
        <v>77.7</v>
      </c>
      <c r="AK57" s="55">
        <v>100.59999999999998</v>
      </c>
      <c r="AL57" s="55">
        <v>118.6</v>
      </c>
      <c r="AM57" s="55">
        <v>165.4</v>
      </c>
      <c r="AN57" s="55">
        <v>121.90000000000002</v>
      </c>
      <c r="AO57" s="55">
        <v>102.3</v>
      </c>
      <c r="AP57" s="55">
        <v>89.3</v>
      </c>
      <c r="AQ57" s="55">
        <v>111.60000000000001</v>
      </c>
      <c r="AR57" s="55">
        <v>102.69999999999999</v>
      </c>
      <c r="AS57" s="55">
        <v>208.8</v>
      </c>
      <c r="AT57" s="55">
        <v>73.5</v>
      </c>
      <c r="AU57" s="55">
        <v>127.9</v>
      </c>
      <c r="AV57" s="55">
        <v>76.599999999999994</v>
      </c>
      <c r="AW57" s="55">
        <v>72.000000000000014</v>
      </c>
      <c r="AX57" s="55">
        <v>63.599999999999994</v>
      </c>
      <c r="AY57" s="57"/>
    </row>
    <row r="58" spans="2:51" x14ac:dyDescent="0.3">
      <c r="C58" s="5"/>
      <c r="D58" s="5"/>
      <c r="E58" s="5"/>
      <c r="F58" s="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AV58" s="45"/>
      <c r="AW58" s="45"/>
      <c r="AX58" s="45"/>
      <c r="AY58" s="45"/>
    </row>
  </sheetData>
  <pageMargins left="0.35433070866141736" right="0.35433070866141736" top="0.39370078740157483" bottom="0.39370078740157483" header="0.51181102362204722" footer="0.51181102362204722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1:AX74"/>
  <sheetViews>
    <sheetView zoomScaleNormal="100" zoomScaleSheetLayoutView="78" workbookViewId="0">
      <selection activeCell="C65" sqref="C65"/>
    </sheetView>
  </sheetViews>
  <sheetFormatPr defaultRowHeight="15" x14ac:dyDescent="0.3"/>
  <cols>
    <col min="1" max="1" width="5.28515625" style="5" customWidth="1"/>
    <col min="2" max="2" width="46" style="5" customWidth="1"/>
    <col min="3" max="42" width="10.7109375" style="2" customWidth="1"/>
    <col min="43" max="45" width="10.7109375" style="5" customWidth="1"/>
    <col min="46" max="46" width="10.7109375" style="24" customWidth="1"/>
    <col min="47" max="49" width="10.7109375" style="5" customWidth="1"/>
    <col min="50" max="16384" width="9.140625" style="5"/>
  </cols>
  <sheetData>
    <row r="1" spans="2:49" ht="18.75" x14ac:dyDescent="0.3">
      <c r="B1" s="44" t="s">
        <v>82</v>
      </c>
    </row>
    <row r="2" spans="2:49" x14ac:dyDescent="0.3">
      <c r="W2" s="67"/>
      <c r="X2" s="67"/>
    </row>
    <row r="3" spans="2:49" ht="18.75" x14ac:dyDescent="0.3">
      <c r="B3" s="1" t="s">
        <v>140</v>
      </c>
      <c r="AQ3" s="3"/>
      <c r="AR3" s="3"/>
      <c r="AS3" s="3"/>
      <c r="AT3" s="4"/>
      <c r="AU3" s="4"/>
      <c r="AV3" s="3"/>
      <c r="AW3" s="3"/>
    </row>
    <row r="4" spans="2:49" x14ac:dyDescent="0.3">
      <c r="AQ4" s="6"/>
      <c r="AR4" s="6"/>
      <c r="AS4" s="6"/>
      <c r="AT4" s="7"/>
      <c r="AU4" s="6"/>
      <c r="AV4" s="6"/>
      <c r="AW4" s="6"/>
    </row>
    <row r="5" spans="2:49" ht="15.75" x14ac:dyDescent="0.35">
      <c r="B5" s="8" t="s">
        <v>0</v>
      </c>
      <c r="C5" s="9" t="s">
        <v>281</v>
      </c>
      <c r="D5" s="9" t="s">
        <v>273</v>
      </c>
      <c r="E5" s="9" t="s">
        <v>268</v>
      </c>
      <c r="F5" s="9" t="s">
        <v>265</v>
      </c>
      <c r="G5" s="9" t="s">
        <v>262</v>
      </c>
      <c r="H5" s="9" t="s">
        <v>259</v>
      </c>
      <c r="I5" s="9" t="s">
        <v>255</v>
      </c>
      <c r="J5" s="9" t="s">
        <v>251</v>
      </c>
      <c r="K5" s="9" t="s">
        <v>247</v>
      </c>
      <c r="L5" s="9" t="s">
        <v>244</v>
      </c>
      <c r="M5" s="9" t="s">
        <v>242</v>
      </c>
      <c r="N5" s="9" t="s">
        <v>238</v>
      </c>
      <c r="O5" s="9" t="s">
        <v>235</v>
      </c>
      <c r="P5" s="9" t="s">
        <v>228</v>
      </c>
      <c r="Q5" s="9" t="s">
        <v>221</v>
      </c>
      <c r="R5" s="9" t="s">
        <v>209</v>
      </c>
      <c r="S5" s="9" t="s">
        <v>206</v>
      </c>
      <c r="T5" s="9" t="s">
        <v>203</v>
      </c>
      <c r="U5" s="9" t="s">
        <v>193</v>
      </c>
      <c r="V5" s="9" t="s">
        <v>190</v>
      </c>
      <c r="W5" s="9" t="s">
        <v>186</v>
      </c>
      <c r="X5" s="9" t="s">
        <v>183</v>
      </c>
      <c r="Y5" s="9" t="s">
        <v>175</v>
      </c>
      <c r="Z5" s="9" t="s">
        <v>172</v>
      </c>
      <c r="AA5" s="9" t="s">
        <v>169</v>
      </c>
      <c r="AB5" s="9" t="s">
        <v>166</v>
      </c>
      <c r="AC5" s="9" t="s">
        <v>163</v>
      </c>
      <c r="AD5" s="9" t="s">
        <v>160</v>
      </c>
      <c r="AE5" s="9" t="s">
        <v>157</v>
      </c>
      <c r="AF5" s="9" t="s">
        <v>152</v>
      </c>
      <c r="AG5" s="9" t="s">
        <v>149</v>
      </c>
      <c r="AH5" s="9" t="s">
        <v>146</v>
      </c>
      <c r="AI5" s="9" t="s">
        <v>142</v>
      </c>
      <c r="AJ5" s="9" t="s">
        <v>135</v>
      </c>
      <c r="AK5" s="9" t="s">
        <v>131</v>
      </c>
      <c r="AL5" s="9" t="s">
        <v>123</v>
      </c>
      <c r="AM5" s="9" t="s">
        <v>120</v>
      </c>
      <c r="AN5" s="9" t="s">
        <v>117</v>
      </c>
      <c r="AO5" s="9" t="s">
        <v>111</v>
      </c>
      <c r="AP5" s="9" t="s">
        <v>1</v>
      </c>
      <c r="AQ5" s="9" t="s">
        <v>2</v>
      </c>
      <c r="AR5" s="9" t="s">
        <v>3</v>
      </c>
      <c r="AS5" s="9" t="s">
        <v>4</v>
      </c>
      <c r="AT5" s="9" t="s">
        <v>5</v>
      </c>
      <c r="AU5" s="9" t="s">
        <v>6</v>
      </c>
      <c r="AV5" s="9" t="s">
        <v>7</v>
      </c>
      <c r="AW5" s="9" t="s">
        <v>8</v>
      </c>
    </row>
    <row r="6" spans="2:49" x14ac:dyDescent="0.3">
      <c r="B6" s="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</row>
    <row r="7" spans="2:49" x14ac:dyDescent="0.3">
      <c r="B7" s="3" t="s">
        <v>9</v>
      </c>
      <c r="AQ7" s="11"/>
      <c r="AR7" s="11"/>
      <c r="AS7" s="11"/>
      <c r="AT7" s="12"/>
      <c r="AU7" s="11"/>
      <c r="AV7" s="11"/>
      <c r="AW7" s="11"/>
    </row>
    <row r="8" spans="2:49" ht="6" customHeight="1" x14ac:dyDescent="0.3">
      <c r="AQ8" s="11"/>
      <c r="AR8" s="11"/>
      <c r="AS8" s="11"/>
      <c r="AT8" s="12"/>
      <c r="AU8" s="11"/>
      <c r="AV8" s="11"/>
      <c r="AW8" s="11"/>
    </row>
    <row r="9" spans="2:49" x14ac:dyDescent="0.3">
      <c r="B9" s="5" t="s">
        <v>222</v>
      </c>
      <c r="C9" s="18">
        <v>5281.2</v>
      </c>
      <c r="D9" s="18">
        <v>5360.2</v>
      </c>
      <c r="E9" s="18">
        <v>4571.7</v>
      </c>
      <c r="F9" s="18">
        <v>4639.8999999999996</v>
      </c>
      <c r="G9" s="18">
        <v>4708.1000000000004</v>
      </c>
      <c r="H9" s="18">
        <v>4776.3999999999996</v>
      </c>
      <c r="I9" s="18">
        <v>4844.6000000000004</v>
      </c>
      <c r="J9" s="18">
        <v>4912.8</v>
      </c>
      <c r="K9" s="18">
        <v>4981.1000000000004</v>
      </c>
      <c r="L9" s="18">
        <v>5049.3</v>
      </c>
      <c r="M9" s="18">
        <v>5117.5</v>
      </c>
      <c r="N9" s="18">
        <v>5185.8</v>
      </c>
      <c r="O9" s="18">
        <v>5254</v>
      </c>
      <c r="P9" s="18">
        <v>5322.2</v>
      </c>
      <c r="Q9" s="18">
        <v>5390.5</v>
      </c>
      <c r="R9" s="18">
        <v>5458.7</v>
      </c>
      <c r="S9" s="18">
        <v>0</v>
      </c>
      <c r="T9" s="18">
        <v>0</v>
      </c>
      <c r="U9" s="18">
        <v>0</v>
      </c>
      <c r="V9" s="13">
        <v>0</v>
      </c>
      <c r="W9" s="18">
        <v>0</v>
      </c>
      <c r="X9" s="18">
        <v>0</v>
      </c>
      <c r="Y9" s="18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13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13">
        <v>0</v>
      </c>
      <c r="AP9" s="13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4">
        <v>0</v>
      </c>
    </row>
    <row r="10" spans="2:49" ht="30" x14ac:dyDescent="0.3">
      <c r="B10" s="38" t="s">
        <v>248</v>
      </c>
      <c r="C10" s="18">
        <v>875.9</v>
      </c>
      <c r="D10" s="18">
        <v>2169.8000000000002</v>
      </c>
      <c r="E10" s="18">
        <v>1186.3</v>
      </c>
      <c r="F10" s="18">
        <v>1013.5</v>
      </c>
      <c r="G10" s="18">
        <v>897.2</v>
      </c>
      <c r="H10" s="18">
        <v>813.2</v>
      </c>
      <c r="I10" s="18">
        <v>844.8</v>
      </c>
      <c r="J10" s="18">
        <v>733.8</v>
      </c>
      <c r="K10" s="18">
        <v>49.2</v>
      </c>
      <c r="L10" s="18">
        <v>29.8</v>
      </c>
      <c r="M10" s="18">
        <v>29.8</v>
      </c>
      <c r="N10" s="18">
        <v>29.8</v>
      </c>
      <c r="O10" s="13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24.7</v>
      </c>
      <c r="AM10" s="13">
        <v>24.5</v>
      </c>
      <c r="AN10" s="13">
        <v>23.2</v>
      </c>
      <c r="AO10" s="13">
        <v>23.6</v>
      </c>
      <c r="AP10" s="13">
        <v>20.516999999999999</v>
      </c>
      <c r="AQ10" s="14">
        <v>17.3</v>
      </c>
      <c r="AR10" s="14">
        <v>16.399999999999999</v>
      </c>
      <c r="AS10" s="14">
        <v>17.2</v>
      </c>
      <c r="AT10" s="14">
        <v>17.100000000000001</v>
      </c>
      <c r="AU10" s="14">
        <v>12.1</v>
      </c>
      <c r="AV10" s="14">
        <v>12.7</v>
      </c>
      <c r="AW10" s="14">
        <v>12.4</v>
      </c>
    </row>
    <row r="11" spans="2:49" x14ac:dyDescent="0.3">
      <c r="B11" s="5" t="s">
        <v>10</v>
      </c>
      <c r="C11" s="18">
        <v>15.1</v>
      </c>
      <c r="D11" s="18">
        <v>18.100000000000001</v>
      </c>
      <c r="E11" s="18">
        <v>13.2</v>
      </c>
      <c r="F11" s="18">
        <v>14.8</v>
      </c>
      <c r="G11" s="18">
        <v>16.399999999999999</v>
      </c>
      <c r="H11" s="18">
        <v>19.8</v>
      </c>
      <c r="I11" s="18">
        <v>23.2</v>
      </c>
      <c r="J11" s="18">
        <v>23</v>
      </c>
      <c r="K11" s="18">
        <v>26.6</v>
      </c>
      <c r="L11" s="18">
        <v>28.8</v>
      </c>
      <c r="M11" s="18">
        <v>16.600000000000001</v>
      </c>
      <c r="N11" s="18">
        <v>17.600000000000001</v>
      </c>
      <c r="O11" s="18">
        <v>16.399999999999999</v>
      </c>
      <c r="P11" s="18">
        <v>18.8</v>
      </c>
      <c r="Q11" s="18">
        <v>20.7</v>
      </c>
      <c r="R11" s="18">
        <v>22.5</v>
      </c>
      <c r="S11" s="18">
        <v>25</v>
      </c>
      <c r="T11" s="18">
        <v>27.5</v>
      </c>
      <c r="U11" s="18">
        <v>29.8</v>
      </c>
      <c r="V11" s="13">
        <v>32.4</v>
      </c>
      <c r="W11" s="18">
        <v>24.5</v>
      </c>
      <c r="X11" s="18">
        <v>26.2</v>
      </c>
      <c r="Y11" s="18">
        <v>28</v>
      </c>
      <c r="Z11" s="13">
        <v>27.3</v>
      </c>
      <c r="AA11" s="13">
        <v>7.9</v>
      </c>
      <c r="AB11" s="13">
        <v>8.4</v>
      </c>
      <c r="AC11" s="13">
        <v>8.6</v>
      </c>
      <c r="AD11" s="13">
        <v>5.2</v>
      </c>
      <c r="AE11" s="13">
        <v>5.8</v>
      </c>
      <c r="AF11" s="13">
        <v>5.2</v>
      </c>
      <c r="AG11" s="13">
        <v>5.5</v>
      </c>
      <c r="AH11" s="13">
        <v>3.2</v>
      </c>
      <c r="AI11" s="13">
        <v>3.7</v>
      </c>
      <c r="AJ11" s="13">
        <v>4.0999999999999996</v>
      </c>
      <c r="AK11" s="13">
        <v>4.7</v>
      </c>
      <c r="AL11" s="13">
        <v>4.8</v>
      </c>
      <c r="AM11" s="13">
        <v>3.5</v>
      </c>
      <c r="AN11" s="13">
        <v>4.0999999999999996</v>
      </c>
      <c r="AO11" s="13">
        <v>5</v>
      </c>
      <c r="AP11" s="13">
        <v>3.2080000000000002</v>
      </c>
      <c r="AQ11" s="14">
        <v>3.5</v>
      </c>
      <c r="AR11" s="14">
        <v>4.2</v>
      </c>
      <c r="AS11" s="14">
        <v>4.5999999999999996</v>
      </c>
      <c r="AT11" s="14">
        <v>5.0999999999999996</v>
      </c>
      <c r="AU11" s="14">
        <v>5.5</v>
      </c>
      <c r="AV11" s="14">
        <v>6.6</v>
      </c>
      <c r="AW11" s="14">
        <v>7.6</v>
      </c>
    </row>
    <row r="12" spans="2:49" x14ac:dyDescent="0.3">
      <c r="B12" s="5" t="s">
        <v>199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3">
        <v>0</v>
      </c>
      <c r="O12" s="13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8">
        <v>0</v>
      </c>
      <c r="X12" s="18">
        <v>0</v>
      </c>
      <c r="Y12" s="18">
        <v>0</v>
      </c>
      <c r="Z12" s="13">
        <v>0</v>
      </c>
      <c r="AA12" s="13">
        <v>1</v>
      </c>
      <c r="AB12" s="13">
        <v>21.8</v>
      </c>
      <c r="AC12" s="13">
        <v>47.6</v>
      </c>
      <c r="AD12" s="13">
        <v>60.9</v>
      </c>
      <c r="AE12" s="13">
        <v>83.6</v>
      </c>
      <c r="AF12" s="13">
        <v>114.5</v>
      </c>
      <c r="AG12" s="13">
        <v>107.5</v>
      </c>
      <c r="AH12" s="13">
        <v>100.5</v>
      </c>
      <c r="AI12" s="13">
        <v>90.9</v>
      </c>
      <c r="AJ12" s="13">
        <v>88.2</v>
      </c>
      <c r="AK12" s="13">
        <v>83.1</v>
      </c>
      <c r="AL12" s="13">
        <v>78.400000000000006</v>
      </c>
      <c r="AM12" s="13">
        <v>91</v>
      </c>
      <c r="AN12" s="13">
        <v>87</v>
      </c>
      <c r="AO12" s="13">
        <v>83.3</v>
      </c>
      <c r="AP12" s="13">
        <v>76.954999999999998</v>
      </c>
      <c r="AQ12" s="14">
        <v>71.2</v>
      </c>
      <c r="AR12" s="14">
        <v>42.4</v>
      </c>
      <c r="AS12" s="14">
        <v>132.9</v>
      </c>
      <c r="AT12" s="14">
        <v>122.72199999999997</v>
      </c>
      <c r="AU12" s="14">
        <v>114.8</v>
      </c>
      <c r="AV12" s="14">
        <v>111.83699999999999</v>
      </c>
      <c r="AW12" s="14">
        <v>109.1</v>
      </c>
    </row>
    <row r="13" spans="2:49" x14ac:dyDescent="0.3">
      <c r="B13" s="15" t="s">
        <v>11</v>
      </c>
      <c r="C13" s="16">
        <v>363</v>
      </c>
      <c r="D13" s="16">
        <v>356.2</v>
      </c>
      <c r="E13" s="16">
        <v>312.5</v>
      </c>
      <c r="F13" s="16">
        <v>274.39999999999998</v>
      </c>
      <c r="G13" s="16">
        <v>242.8</v>
      </c>
      <c r="H13" s="16">
        <v>204.1</v>
      </c>
      <c r="I13" s="16">
        <v>168.2</v>
      </c>
      <c r="J13" s="16">
        <v>134.4</v>
      </c>
      <c r="K13" s="16">
        <v>105.3</v>
      </c>
      <c r="L13" s="16">
        <v>82</v>
      </c>
      <c r="M13" s="16">
        <v>70.599999999999994</v>
      </c>
      <c r="N13" s="16">
        <v>57.6</v>
      </c>
      <c r="O13" s="16">
        <v>93.7</v>
      </c>
      <c r="P13" s="16">
        <v>32.299999999999997</v>
      </c>
      <c r="Q13" s="16">
        <v>13.2</v>
      </c>
      <c r="R13" s="16">
        <v>3.1</v>
      </c>
      <c r="S13" s="16">
        <v>1.2</v>
      </c>
      <c r="T13" s="16">
        <v>0.5</v>
      </c>
      <c r="U13" s="16">
        <v>0.1</v>
      </c>
      <c r="V13" s="16">
        <v>0.1</v>
      </c>
      <c r="W13" s="16">
        <v>5.8</v>
      </c>
      <c r="X13" s="16">
        <v>3.9</v>
      </c>
      <c r="Y13" s="16">
        <v>2.4</v>
      </c>
      <c r="Z13" s="16">
        <v>5.7</v>
      </c>
      <c r="AA13" s="16">
        <v>21</v>
      </c>
      <c r="AB13" s="16">
        <v>19.600000000000001</v>
      </c>
      <c r="AC13" s="16">
        <v>15.6</v>
      </c>
      <c r="AD13" s="16">
        <v>16.899999999999999</v>
      </c>
      <c r="AE13" s="16">
        <v>13.7</v>
      </c>
      <c r="AF13" s="16">
        <v>12.1</v>
      </c>
      <c r="AG13" s="16">
        <v>7.7</v>
      </c>
      <c r="AH13" s="16">
        <v>4.5</v>
      </c>
      <c r="AI13" s="16">
        <v>2.3000000000000003</v>
      </c>
      <c r="AJ13" s="16">
        <v>2.4</v>
      </c>
      <c r="AK13" s="16">
        <v>2.6</v>
      </c>
      <c r="AL13" s="16">
        <v>1.3</v>
      </c>
      <c r="AM13" s="16">
        <v>1.1000000000000001</v>
      </c>
      <c r="AN13" s="16">
        <v>1</v>
      </c>
      <c r="AO13" s="16">
        <v>0.8</v>
      </c>
      <c r="AP13" s="16">
        <v>3.9489999999999998</v>
      </c>
      <c r="AQ13" s="17">
        <v>2.8</v>
      </c>
      <c r="AR13" s="17">
        <v>2.4</v>
      </c>
      <c r="AS13" s="17">
        <v>2.2999999999999998</v>
      </c>
      <c r="AT13" s="17">
        <v>3.5780000000000314</v>
      </c>
      <c r="AU13" s="17">
        <v>2.7999999999999972</v>
      </c>
      <c r="AV13" s="17">
        <v>2.1630000000000109</v>
      </c>
      <c r="AW13" s="17">
        <v>0</v>
      </c>
    </row>
    <row r="14" spans="2:49" ht="21" customHeight="1" x14ac:dyDescent="0.3">
      <c r="B14" s="8" t="s">
        <v>12</v>
      </c>
      <c r="C14" s="19">
        <f t="shared" ref="C14:D14" si="0">SUM(C9:C13)</f>
        <v>6535.2</v>
      </c>
      <c r="D14" s="19">
        <f t="shared" si="0"/>
        <v>7904.3</v>
      </c>
      <c r="E14" s="19">
        <f t="shared" ref="E14:F14" si="1">SUM(E9:E13)</f>
        <v>6083.7</v>
      </c>
      <c r="F14" s="19">
        <f t="shared" si="1"/>
        <v>5942.5999999999995</v>
      </c>
      <c r="G14" s="19">
        <f t="shared" ref="G14:H14" si="2">SUM(G9:G13)</f>
        <v>5864.5</v>
      </c>
      <c r="H14" s="19">
        <f t="shared" si="2"/>
        <v>5813.5</v>
      </c>
      <c r="I14" s="19">
        <f t="shared" ref="I14:AC14" si="3">SUM(I9:I13)</f>
        <v>5880.8</v>
      </c>
      <c r="J14" s="19">
        <f t="shared" si="3"/>
        <v>5804</v>
      </c>
      <c r="K14" s="19">
        <f t="shared" si="3"/>
        <v>5162.2000000000007</v>
      </c>
      <c r="L14" s="19">
        <f t="shared" si="3"/>
        <v>5189.9000000000005</v>
      </c>
      <c r="M14" s="19">
        <f t="shared" si="3"/>
        <v>5234.5000000000009</v>
      </c>
      <c r="N14" s="19">
        <f t="shared" si="3"/>
        <v>5290.8000000000011</v>
      </c>
      <c r="O14" s="19">
        <f t="shared" si="3"/>
        <v>5364.0999999999995</v>
      </c>
      <c r="P14" s="19">
        <f t="shared" si="3"/>
        <v>5373.3</v>
      </c>
      <c r="Q14" s="19">
        <f t="shared" si="3"/>
        <v>5424.4</v>
      </c>
      <c r="R14" s="19">
        <f t="shared" si="3"/>
        <v>5484.3</v>
      </c>
      <c r="S14" s="19">
        <f t="shared" si="3"/>
        <v>26.2</v>
      </c>
      <c r="T14" s="19">
        <f t="shared" si="3"/>
        <v>28</v>
      </c>
      <c r="U14" s="19">
        <f t="shared" si="3"/>
        <v>29.900000000000002</v>
      </c>
      <c r="V14" s="19">
        <f t="shared" si="3"/>
        <v>32.5</v>
      </c>
      <c r="W14" s="19">
        <f t="shared" si="3"/>
        <v>30.3</v>
      </c>
      <c r="X14" s="19">
        <f t="shared" si="3"/>
        <v>30.099999999999998</v>
      </c>
      <c r="Y14" s="19">
        <f t="shared" si="3"/>
        <v>30.4</v>
      </c>
      <c r="Z14" s="19">
        <f t="shared" si="3"/>
        <v>33</v>
      </c>
      <c r="AA14" s="19">
        <f t="shared" si="3"/>
        <v>29.9</v>
      </c>
      <c r="AB14" s="19">
        <f t="shared" si="3"/>
        <v>49.800000000000004</v>
      </c>
      <c r="AC14" s="19">
        <f t="shared" si="3"/>
        <v>71.8</v>
      </c>
      <c r="AD14" s="19">
        <v>83</v>
      </c>
      <c r="AE14" s="19">
        <v>103.1</v>
      </c>
      <c r="AF14" s="19">
        <v>131.80000000000001</v>
      </c>
      <c r="AG14" s="19">
        <v>120.7</v>
      </c>
      <c r="AH14" s="19">
        <v>108.2</v>
      </c>
      <c r="AI14" s="19">
        <v>96.9</v>
      </c>
      <c r="AJ14" s="19">
        <v>94.7</v>
      </c>
      <c r="AK14" s="19">
        <v>90.399999999999991</v>
      </c>
      <c r="AL14" s="19">
        <v>109.2</v>
      </c>
      <c r="AM14" s="19">
        <v>120.1</v>
      </c>
      <c r="AN14" s="19">
        <v>115.3</v>
      </c>
      <c r="AO14" s="19">
        <v>112.7</v>
      </c>
      <c r="AP14" s="19">
        <v>104.629</v>
      </c>
      <c r="AQ14" s="19">
        <v>94.8</v>
      </c>
      <c r="AR14" s="19">
        <v>65.400000000000006</v>
      </c>
      <c r="AS14" s="19">
        <v>157</v>
      </c>
      <c r="AT14" s="19">
        <v>148.5</v>
      </c>
      <c r="AU14" s="19">
        <v>135.19999999999999</v>
      </c>
      <c r="AV14" s="19">
        <v>133.30000000000001</v>
      </c>
      <c r="AW14" s="19">
        <v>129.1</v>
      </c>
    </row>
    <row r="15" spans="2:49" ht="21" customHeight="1" x14ac:dyDescent="0.3">
      <c r="B15" s="5" t="s">
        <v>13</v>
      </c>
      <c r="C15" s="18">
        <v>930.5</v>
      </c>
      <c r="D15" s="18">
        <v>933.1</v>
      </c>
      <c r="E15" s="18">
        <v>619.9</v>
      </c>
      <c r="F15" s="18">
        <v>630.1</v>
      </c>
      <c r="G15" s="18">
        <v>329.5</v>
      </c>
      <c r="H15" s="18">
        <v>334.8</v>
      </c>
      <c r="I15" s="18">
        <v>340.5</v>
      </c>
      <c r="J15" s="18">
        <v>346</v>
      </c>
      <c r="K15" s="18">
        <v>354.2</v>
      </c>
      <c r="L15" s="18">
        <v>361.1</v>
      </c>
      <c r="M15" s="18">
        <v>367.8</v>
      </c>
      <c r="N15" s="18">
        <v>366.2</v>
      </c>
      <c r="O15" s="18">
        <v>156.80000000000001</v>
      </c>
      <c r="P15" s="18">
        <v>161.30000000000001</v>
      </c>
      <c r="Q15" s="18">
        <v>158</v>
      </c>
      <c r="R15" s="18">
        <v>162.30000000000001</v>
      </c>
      <c r="S15" s="18">
        <v>166.6</v>
      </c>
      <c r="T15" s="18">
        <v>170.9</v>
      </c>
      <c r="U15" s="13">
        <v>175.2</v>
      </c>
      <c r="V15" s="13">
        <v>179.5</v>
      </c>
      <c r="W15" s="18">
        <v>183.2</v>
      </c>
      <c r="X15" s="18">
        <v>187.5</v>
      </c>
      <c r="Y15" s="18">
        <v>191.8</v>
      </c>
      <c r="Z15" s="13">
        <v>194.2</v>
      </c>
      <c r="AA15" s="13">
        <v>198.4</v>
      </c>
      <c r="AB15" s="13">
        <v>201.2</v>
      </c>
      <c r="AC15" s="13">
        <v>201.5</v>
      </c>
      <c r="AD15" s="13">
        <v>202.8</v>
      </c>
      <c r="AE15" s="13">
        <v>206.6</v>
      </c>
      <c r="AF15" s="13">
        <v>210.5</v>
      </c>
      <c r="AG15" s="13">
        <v>214.4</v>
      </c>
      <c r="AH15" s="13">
        <v>218.6</v>
      </c>
      <c r="AI15" s="13">
        <v>217</v>
      </c>
      <c r="AJ15" s="13">
        <v>220.6</v>
      </c>
      <c r="AK15" s="13">
        <v>222.3</v>
      </c>
      <c r="AL15" s="13">
        <v>226.2</v>
      </c>
      <c r="AM15" s="13">
        <v>171</v>
      </c>
      <c r="AN15" s="13">
        <v>174.2</v>
      </c>
      <c r="AO15" s="13">
        <v>177.3</v>
      </c>
      <c r="AP15" s="13">
        <v>178.08500000000001</v>
      </c>
      <c r="AQ15" s="14">
        <v>179.9</v>
      </c>
      <c r="AR15" s="14">
        <v>182.9</v>
      </c>
      <c r="AS15" s="14">
        <v>185</v>
      </c>
      <c r="AT15" s="14">
        <v>183.6</v>
      </c>
      <c r="AU15" s="14">
        <v>185</v>
      </c>
      <c r="AV15" s="14">
        <v>187.9</v>
      </c>
      <c r="AW15" s="14">
        <v>190.3</v>
      </c>
    </row>
    <row r="16" spans="2:49" x14ac:dyDescent="0.3">
      <c r="B16" s="5" t="s">
        <v>14</v>
      </c>
      <c r="C16" s="18">
        <v>21.4</v>
      </c>
      <c r="D16" s="18">
        <v>23</v>
      </c>
      <c r="E16" s="18">
        <v>23.3</v>
      </c>
      <c r="F16" s="18">
        <v>24.8</v>
      </c>
      <c r="G16" s="18">
        <v>16.399999999999999</v>
      </c>
      <c r="H16" s="18">
        <v>8.8000000000000007</v>
      </c>
      <c r="I16" s="18">
        <v>9.4</v>
      </c>
      <c r="J16" s="18">
        <v>10</v>
      </c>
      <c r="K16" s="18">
        <v>10</v>
      </c>
      <c r="L16" s="18">
        <v>3.3</v>
      </c>
      <c r="M16" s="18">
        <v>3.5</v>
      </c>
      <c r="N16" s="18">
        <v>3.7</v>
      </c>
      <c r="O16" s="18">
        <v>2.5</v>
      </c>
      <c r="P16" s="18">
        <v>2.2999999999999998</v>
      </c>
      <c r="Q16" s="18">
        <v>2.4</v>
      </c>
      <c r="R16" s="18">
        <v>0.8</v>
      </c>
      <c r="S16" s="18">
        <v>0.9</v>
      </c>
      <c r="T16" s="18">
        <v>0.9</v>
      </c>
      <c r="U16" s="13">
        <v>1</v>
      </c>
      <c r="V16" s="13">
        <v>1</v>
      </c>
      <c r="W16" s="18">
        <v>1.1000000000000001</v>
      </c>
      <c r="X16" s="18">
        <v>1.2</v>
      </c>
      <c r="Y16" s="18">
        <v>1.2</v>
      </c>
      <c r="Z16" s="13">
        <v>1.3</v>
      </c>
      <c r="AA16" s="13">
        <v>1.4</v>
      </c>
      <c r="AB16" s="13">
        <v>1.2</v>
      </c>
      <c r="AC16" s="13">
        <v>1.3</v>
      </c>
      <c r="AD16" s="13">
        <v>0.7</v>
      </c>
      <c r="AE16" s="13">
        <v>0.8</v>
      </c>
      <c r="AF16" s="13">
        <v>0.8</v>
      </c>
      <c r="AG16" s="13">
        <v>0.4</v>
      </c>
      <c r="AH16" s="13">
        <v>0.4</v>
      </c>
      <c r="AI16" s="13">
        <v>0.7</v>
      </c>
      <c r="AJ16" s="13">
        <v>0.8</v>
      </c>
      <c r="AK16" s="13">
        <v>0.9</v>
      </c>
      <c r="AL16" s="13">
        <v>0.9</v>
      </c>
      <c r="AM16" s="13">
        <v>1</v>
      </c>
      <c r="AN16" s="13">
        <v>1</v>
      </c>
      <c r="AO16" s="13">
        <v>1.1000000000000001</v>
      </c>
      <c r="AP16" s="13">
        <v>1.2929999999999999</v>
      </c>
      <c r="AQ16" s="14">
        <v>0.7</v>
      </c>
      <c r="AR16" s="14">
        <v>0.8</v>
      </c>
      <c r="AS16" s="14">
        <v>0.9</v>
      </c>
      <c r="AT16" s="14">
        <v>1.3</v>
      </c>
      <c r="AU16" s="14">
        <v>7.9</v>
      </c>
      <c r="AV16" s="14">
        <v>8.5</v>
      </c>
      <c r="AW16" s="14">
        <v>9.1999999999999993</v>
      </c>
    </row>
    <row r="17" spans="2:50" x14ac:dyDescent="0.3">
      <c r="B17" s="5" t="s">
        <v>15</v>
      </c>
      <c r="C17" s="18">
        <v>402.3</v>
      </c>
      <c r="D17" s="18">
        <v>407.6</v>
      </c>
      <c r="E17" s="18">
        <v>311.39999999999998</v>
      </c>
      <c r="F17" s="18">
        <v>321.8</v>
      </c>
      <c r="G17" s="18">
        <v>236.4</v>
      </c>
      <c r="H17" s="18">
        <v>243.1</v>
      </c>
      <c r="I17" s="18">
        <v>250.4</v>
      </c>
      <c r="J17" s="18">
        <v>254.5</v>
      </c>
      <c r="K17" s="18">
        <v>256</v>
      </c>
      <c r="L17" s="18">
        <v>263.60000000000002</v>
      </c>
      <c r="M17" s="18">
        <v>269.2</v>
      </c>
      <c r="N17" s="18">
        <v>204.7</v>
      </c>
      <c r="O17" s="18">
        <v>79.099999999999994</v>
      </c>
      <c r="P17" s="18">
        <v>83.2</v>
      </c>
      <c r="Q17" s="18">
        <v>43.3</v>
      </c>
      <c r="R17" s="18">
        <v>44.3</v>
      </c>
      <c r="S17" s="18">
        <v>46.8</v>
      </c>
      <c r="T17" s="18">
        <v>49.3</v>
      </c>
      <c r="U17" s="13">
        <v>51.8</v>
      </c>
      <c r="V17" s="13">
        <v>54.3</v>
      </c>
      <c r="W17" s="18">
        <v>55.6</v>
      </c>
      <c r="X17" s="18">
        <v>58.1</v>
      </c>
      <c r="Y17" s="18">
        <v>60.6</v>
      </c>
      <c r="Z17" s="13">
        <v>57</v>
      </c>
      <c r="AA17" s="13">
        <v>59.1</v>
      </c>
      <c r="AB17" s="13">
        <v>54.6</v>
      </c>
      <c r="AC17" s="13">
        <v>56.8</v>
      </c>
      <c r="AD17" s="13">
        <v>54.9</v>
      </c>
      <c r="AE17" s="13">
        <v>60.1</v>
      </c>
      <c r="AF17" s="13">
        <v>62.2</v>
      </c>
      <c r="AG17" s="13">
        <v>49.6</v>
      </c>
      <c r="AH17" s="13">
        <v>53.6</v>
      </c>
      <c r="AI17" s="13">
        <v>58.2</v>
      </c>
      <c r="AJ17" s="13">
        <v>61.8</v>
      </c>
      <c r="AK17" s="13">
        <v>59.8</v>
      </c>
      <c r="AL17" s="13">
        <v>64.599999999999994</v>
      </c>
      <c r="AM17" s="13">
        <v>68.400000000000006</v>
      </c>
      <c r="AN17" s="13">
        <v>73.2</v>
      </c>
      <c r="AO17" s="13">
        <v>78</v>
      </c>
      <c r="AP17" s="13">
        <v>82.796000000000006</v>
      </c>
      <c r="AQ17" s="14">
        <v>87.6</v>
      </c>
      <c r="AR17" s="14">
        <v>92.4</v>
      </c>
      <c r="AS17" s="14">
        <v>89.6</v>
      </c>
      <c r="AT17" s="14">
        <v>91.6</v>
      </c>
      <c r="AU17" s="14">
        <v>96</v>
      </c>
      <c r="AV17" s="14">
        <v>100.4</v>
      </c>
      <c r="AW17" s="14">
        <v>104.9</v>
      </c>
    </row>
    <row r="18" spans="2:50" x14ac:dyDescent="0.3">
      <c r="B18" s="5" t="s">
        <v>124</v>
      </c>
      <c r="C18" s="18">
        <v>706.3</v>
      </c>
      <c r="D18" s="18">
        <v>716.1</v>
      </c>
      <c r="E18" s="18">
        <v>499.6</v>
      </c>
      <c r="F18" s="18">
        <v>511.2</v>
      </c>
      <c r="G18" s="18">
        <v>215.3</v>
      </c>
      <c r="H18" s="18">
        <v>215</v>
      </c>
      <c r="I18" s="18">
        <v>218.8</v>
      </c>
      <c r="J18" s="18">
        <v>223.5</v>
      </c>
      <c r="K18" s="18">
        <v>220.8</v>
      </c>
      <c r="L18" s="18">
        <v>219.1</v>
      </c>
      <c r="M18" s="18">
        <v>222.8</v>
      </c>
      <c r="N18" s="18">
        <v>223.2</v>
      </c>
      <c r="O18" s="18">
        <v>15.5</v>
      </c>
      <c r="P18" s="18">
        <v>26.3</v>
      </c>
      <c r="Q18" s="18">
        <v>23.2</v>
      </c>
      <c r="R18" s="18">
        <v>20.399999999999999</v>
      </c>
      <c r="S18" s="18">
        <v>21.8</v>
      </c>
      <c r="T18" s="18">
        <v>23.3</v>
      </c>
      <c r="U18" s="13">
        <v>22.4</v>
      </c>
      <c r="V18" s="13">
        <v>21.9</v>
      </c>
      <c r="W18" s="18">
        <v>20.7</v>
      </c>
      <c r="X18" s="18">
        <v>20.5</v>
      </c>
      <c r="Y18" s="18">
        <v>21.7</v>
      </c>
      <c r="Z18" s="13">
        <v>20.5</v>
      </c>
      <c r="AA18" s="13">
        <v>21.4</v>
      </c>
      <c r="AB18" s="13">
        <v>22.3</v>
      </c>
      <c r="AC18" s="13">
        <v>22.8</v>
      </c>
      <c r="AD18" s="13">
        <v>19</v>
      </c>
      <c r="AE18" s="13">
        <v>18.399999999999999</v>
      </c>
      <c r="AF18" s="13">
        <v>17.600000000000001</v>
      </c>
      <c r="AG18" s="13">
        <v>18.5</v>
      </c>
      <c r="AH18" s="13">
        <v>19.399999999999999</v>
      </c>
      <c r="AI18" s="13">
        <v>17.899999999999999</v>
      </c>
      <c r="AJ18" s="13">
        <v>18.600000000000001</v>
      </c>
      <c r="AK18" s="13">
        <v>20.100000000000001</v>
      </c>
      <c r="AL18" s="13">
        <v>20.9</v>
      </c>
      <c r="AM18" s="13">
        <v>21.2</v>
      </c>
      <c r="AN18" s="13">
        <v>22.6</v>
      </c>
      <c r="AO18" s="13">
        <v>22.8</v>
      </c>
      <c r="AP18" s="13">
        <v>21.265000000000001</v>
      </c>
      <c r="AQ18" s="14">
        <v>20.9</v>
      </c>
      <c r="AR18" s="14">
        <v>26.2</v>
      </c>
      <c r="AS18" s="14">
        <v>26.8</v>
      </c>
      <c r="AT18" s="14">
        <v>27.3</v>
      </c>
      <c r="AU18" s="14">
        <v>24.4</v>
      </c>
      <c r="AV18" s="14">
        <v>23.8</v>
      </c>
      <c r="AW18" s="14">
        <v>24.3</v>
      </c>
    </row>
    <row r="19" spans="2:50" x14ac:dyDescent="0.3">
      <c r="B19" s="15" t="s">
        <v>16</v>
      </c>
      <c r="C19" s="16">
        <v>235.2</v>
      </c>
      <c r="D19" s="16">
        <v>242.9</v>
      </c>
      <c r="E19" s="16">
        <v>226</v>
      </c>
      <c r="F19" s="16">
        <v>196.1</v>
      </c>
      <c r="G19" s="16">
        <v>846.5</v>
      </c>
      <c r="H19" s="16">
        <v>810.5</v>
      </c>
      <c r="I19" s="16">
        <v>722.6</v>
      </c>
      <c r="J19" s="16">
        <v>578.70000000000005</v>
      </c>
      <c r="K19" s="16">
        <v>421.7</v>
      </c>
      <c r="L19" s="16">
        <v>301.39999999999998</v>
      </c>
      <c r="M19" s="16">
        <v>215.4</v>
      </c>
      <c r="N19" s="16">
        <v>213.3</v>
      </c>
      <c r="O19" s="16">
        <v>659.1</v>
      </c>
      <c r="P19" s="16">
        <v>621</v>
      </c>
      <c r="Q19" s="16">
        <v>633.29999999999995</v>
      </c>
      <c r="R19" s="16">
        <v>618.1</v>
      </c>
      <c r="S19" s="16">
        <v>555.9</v>
      </c>
      <c r="T19" s="16">
        <v>453.29999999999995</v>
      </c>
      <c r="U19" s="16">
        <v>333</v>
      </c>
      <c r="V19" s="16">
        <v>262.10000000000002</v>
      </c>
      <c r="W19" s="16">
        <v>188.3</v>
      </c>
      <c r="X19" s="16">
        <v>146.6</v>
      </c>
      <c r="Y19" s="16">
        <v>94.3</v>
      </c>
      <c r="Z19" s="16">
        <v>75</v>
      </c>
      <c r="AA19" s="16">
        <v>29.599999999999998</v>
      </c>
      <c r="AB19" s="16">
        <v>35.4</v>
      </c>
      <c r="AC19" s="16">
        <v>36.799999999999997</v>
      </c>
      <c r="AD19" s="16">
        <v>48.9</v>
      </c>
      <c r="AE19" s="16">
        <v>36.6</v>
      </c>
      <c r="AF19" s="16">
        <v>35.700000000000003</v>
      </c>
      <c r="AG19" s="16">
        <v>39.200000000000003</v>
      </c>
      <c r="AH19" s="16">
        <v>33.799999999999997</v>
      </c>
      <c r="AI19" s="16">
        <v>24.9</v>
      </c>
      <c r="AJ19" s="16">
        <v>21.3</v>
      </c>
      <c r="AK19" s="16">
        <v>24.1</v>
      </c>
      <c r="AL19" s="16">
        <v>24</v>
      </c>
      <c r="AM19" s="16">
        <v>72.099999999999994</v>
      </c>
      <c r="AN19" s="16">
        <v>60.2</v>
      </c>
      <c r="AO19" s="16">
        <v>46.7</v>
      </c>
      <c r="AP19" s="16">
        <v>39.307000000000002</v>
      </c>
      <c r="AQ19" s="17">
        <v>27.6</v>
      </c>
      <c r="AR19" s="17">
        <v>8.6</v>
      </c>
      <c r="AS19" s="17">
        <v>11.6</v>
      </c>
      <c r="AT19" s="17">
        <v>16.8</v>
      </c>
      <c r="AU19" s="17">
        <v>15.3</v>
      </c>
      <c r="AV19" s="17">
        <v>12</v>
      </c>
      <c r="AW19" s="17">
        <v>13.4</v>
      </c>
    </row>
    <row r="20" spans="2:50" ht="21" customHeight="1" x14ac:dyDescent="0.3">
      <c r="B20" s="8" t="s">
        <v>17</v>
      </c>
      <c r="C20" s="19">
        <f t="shared" ref="C20:D20" si="4">SUM(C15:C19)</f>
        <v>2295.6999999999998</v>
      </c>
      <c r="D20" s="19">
        <f t="shared" si="4"/>
        <v>2322.7000000000003</v>
      </c>
      <c r="E20" s="19">
        <f t="shared" ref="E20:F20" si="5">SUM(E15:E19)</f>
        <v>1680.1999999999998</v>
      </c>
      <c r="F20" s="19">
        <f t="shared" si="5"/>
        <v>1684</v>
      </c>
      <c r="G20" s="19">
        <f t="shared" ref="G20:H20" si="6">SUM(G15:G19)</f>
        <v>1644.1</v>
      </c>
      <c r="H20" s="19">
        <f t="shared" si="6"/>
        <v>1612.2</v>
      </c>
      <c r="I20" s="19">
        <f t="shared" ref="I20:AC20" si="7">SUM(I15:I19)</f>
        <v>1541.6999999999998</v>
      </c>
      <c r="J20" s="19">
        <f t="shared" si="7"/>
        <v>1412.7</v>
      </c>
      <c r="K20" s="19">
        <f t="shared" si="7"/>
        <v>1262.7</v>
      </c>
      <c r="L20" s="19">
        <f t="shared" si="7"/>
        <v>1148.5</v>
      </c>
      <c r="M20" s="19">
        <f t="shared" si="7"/>
        <v>1078.7</v>
      </c>
      <c r="N20" s="19">
        <f t="shared" si="7"/>
        <v>1011.0999999999999</v>
      </c>
      <c r="O20" s="19">
        <f t="shared" si="7"/>
        <v>913</v>
      </c>
      <c r="P20" s="19">
        <f t="shared" si="7"/>
        <v>894.1</v>
      </c>
      <c r="Q20" s="19">
        <f t="shared" si="7"/>
        <v>860.19999999999993</v>
      </c>
      <c r="R20" s="19">
        <f t="shared" si="7"/>
        <v>845.90000000000009</v>
      </c>
      <c r="S20" s="19">
        <f t="shared" si="7"/>
        <v>792</v>
      </c>
      <c r="T20" s="19">
        <f t="shared" si="7"/>
        <v>697.7</v>
      </c>
      <c r="U20" s="19">
        <f t="shared" si="7"/>
        <v>583.4</v>
      </c>
      <c r="V20" s="19">
        <f t="shared" si="7"/>
        <v>518.79999999999995</v>
      </c>
      <c r="W20" s="19">
        <f t="shared" si="7"/>
        <v>448.9</v>
      </c>
      <c r="X20" s="19">
        <f t="shared" si="7"/>
        <v>413.9</v>
      </c>
      <c r="Y20" s="19">
        <f t="shared" si="7"/>
        <v>369.6</v>
      </c>
      <c r="Z20" s="19">
        <f t="shared" si="7"/>
        <v>348</v>
      </c>
      <c r="AA20" s="19">
        <f t="shared" si="7"/>
        <v>309.90000000000003</v>
      </c>
      <c r="AB20" s="19">
        <f t="shared" si="7"/>
        <v>314.7</v>
      </c>
      <c r="AC20" s="19">
        <f t="shared" si="7"/>
        <v>319.20000000000005</v>
      </c>
      <c r="AD20" s="19">
        <v>326.29999999999995</v>
      </c>
      <c r="AE20" s="19">
        <v>322.5</v>
      </c>
      <c r="AF20" s="19">
        <v>326.8</v>
      </c>
      <c r="AG20" s="19">
        <v>322.10000000000002</v>
      </c>
      <c r="AH20" s="19">
        <v>325.8</v>
      </c>
      <c r="AI20" s="19">
        <v>318.69999999999993</v>
      </c>
      <c r="AJ20" s="19">
        <v>323.10000000000002</v>
      </c>
      <c r="AK20" s="19">
        <v>327.20000000000005</v>
      </c>
      <c r="AL20" s="19">
        <v>336.59999999999997</v>
      </c>
      <c r="AM20" s="19">
        <v>333.70000000000005</v>
      </c>
      <c r="AN20" s="19">
        <v>331.2</v>
      </c>
      <c r="AO20" s="19">
        <v>325.89999999999998</v>
      </c>
      <c r="AP20" s="19">
        <v>322.74600000000004</v>
      </c>
      <c r="AQ20" s="19">
        <v>316.7</v>
      </c>
      <c r="AR20" s="19">
        <v>310.90000000000003</v>
      </c>
      <c r="AS20" s="19">
        <v>313.90000000000003</v>
      </c>
      <c r="AT20" s="19">
        <v>320.60000000000002</v>
      </c>
      <c r="AU20" s="19">
        <v>328.59999999999997</v>
      </c>
      <c r="AV20" s="19">
        <v>332.6</v>
      </c>
      <c r="AW20" s="19">
        <v>342.09999999999997</v>
      </c>
    </row>
    <row r="21" spans="2:50" s="3" customFormat="1" ht="21" customHeight="1" x14ac:dyDescent="0.3">
      <c r="B21" s="8" t="s">
        <v>194</v>
      </c>
      <c r="C21" s="16">
        <v>85.7</v>
      </c>
      <c r="D21" s="16">
        <v>100.9</v>
      </c>
      <c r="E21" s="16">
        <v>65.400000000000006</v>
      </c>
      <c r="F21" s="16">
        <v>67.5</v>
      </c>
      <c r="G21" s="16">
        <v>70.599999999999994</v>
      </c>
      <c r="H21" s="19">
        <v>75.400000000000006</v>
      </c>
      <c r="I21" s="19">
        <v>77.300000000000011</v>
      </c>
      <c r="J21" s="19">
        <v>75.8</v>
      </c>
      <c r="K21" s="19">
        <v>79.3</v>
      </c>
      <c r="L21" s="19">
        <v>83.4</v>
      </c>
      <c r="M21" s="19">
        <v>87.7</v>
      </c>
      <c r="N21" s="19">
        <v>72</v>
      </c>
      <c r="O21" s="19">
        <v>78.599999999999994</v>
      </c>
      <c r="P21" s="19">
        <v>83.7</v>
      </c>
      <c r="Q21" s="19">
        <v>86.5</v>
      </c>
      <c r="R21" s="19">
        <v>60.6</v>
      </c>
      <c r="S21" s="19">
        <v>62.5</v>
      </c>
      <c r="T21" s="19">
        <v>65.8</v>
      </c>
      <c r="U21" s="19">
        <v>69.2</v>
      </c>
      <c r="V21" s="19">
        <v>0</v>
      </c>
      <c r="W21" s="19">
        <v>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0</v>
      </c>
      <c r="AK21" s="19">
        <v>0</v>
      </c>
      <c r="AL21" s="19">
        <v>0</v>
      </c>
      <c r="AM21" s="19">
        <v>0</v>
      </c>
      <c r="AN21" s="19">
        <v>0</v>
      </c>
      <c r="AO21" s="19">
        <v>0</v>
      </c>
      <c r="AP21" s="19">
        <v>0</v>
      </c>
      <c r="AQ21" s="19">
        <v>0</v>
      </c>
      <c r="AR21" s="19">
        <v>0</v>
      </c>
      <c r="AS21" s="19">
        <v>0</v>
      </c>
      <c r="AT21" s="19">
        <v>0</v>
      </c>
      <c r="AU21" s="19">
        <v>0</v>
      </c>
      <c r="AV21" s="19">
        <v>0</v>
      </c>
      <c r="AW21" s="19">
        <v>0</v>
      </c>
      <c r="AX21" s="68"/>
    </row>
    <row r="22" spans="2:50" ht="21" customHeight="1" x14ac:dyDescent="0.3">
      <c r="B22" s="5" t="s">
        <v>18</v>
      </c>
      <c r="C22" s="18">
        <v>12.399999999999999</v>
      </c>
      <c r="D22" s="18">
        <v>12.2</v>
      </c>
      <c r="E22" s="18">
        <v>9</v>
      </c>
      <c r="F22" s="18">
        <v>5.0999999999999996</v>
      </c>
      <c r="G22" s="18">
        <v>5.3</v>
      </c>
      <c r="H22" s="18">
        <v>5</v>
      </c>
      <c r="I22" s="18">
        <v>4.8</v>
      </c>
      <c r="J22" s="18">
        <v>4.8</v>
      </c>
      <c r="K22" s="18">
        <v>4.6000000000000005</v>
      </c>
      <c r="L22" s="18">
        <v>4.7</v>
      </c>
      <c r="M22" s="18">
        <v>4.5999999999999996</v>
      </c>
      <c r="N22" s="18">
        <v>4.0999999999999996</v>
      </c>
      <c r="O22" s="18">
        <v>4.0999999999999996</v>
      </c>
      <c r="P22" s="18">
        <v>3.9</v>
      </c>
      <c r="Q22" s="18">
        <v>3.6</v>
      </c>
      <c r="R22" s="18">
        <v>1.4</v>
      </c>
      <c r="S22" s="18">
        <v>1.4</v>
      </c>
      <c r="T22" s="18">
        <v>1.3</v>
      </c>
      <c r="U22" s="18">
        <v>1.3</v>
      </c>
      <c r="V22" s="18">
        <v>1.4</v>
      </c>
      <c r="W22" s="18">
        <v>1.3</v>
      </c>
      <c r="X22" s="18">
        <v>1.3</v>
      </c>
      <c r="Y22" s="18">
        <v>1.4000000000000001</v>
      </c>
      <c r="Z22" s="18">
        <v>1.2</v>
      </c>
      <c r="AA22" s="18">
        <v>1.4</v>
      </c>
      <c r="AB22" s="18">
        <v>1.5</v>
      </c>
      <c r="AC22" s="18">
        <v>1.5</v>
      </c>
      <c r="AD22" s="18">
        <v>1.3</v>
      </c>
      <c r="AE22" s="18">
        <v>1.1000000000000001</v>
      </c>
      <c r="AF22" s="18">
        <v>1.1000000000000001</v>
      </c>
      <c r="AG22" s="18">
        <v>1.1000000000000001</v>
      </c>
      <c r="AH22" s="18">
        <v>0.9</v>
      </c>
      <c r="AI22" s="18">
        <v>0.9</v>
      </c>
      <c r="AJ22" s="18">
        <v>0.8</v>
      </c>
      <c r="AK22" s="18">
        <v>0.8</v>
      </c>
      <c r="AL22" s="18">
        <v>0.8</v>
      </c>
      <c r="AM22" s="18">
        <v>0.9</v>
      </c>
      <c r="AN22" s="18">
        <v>0.8</v>
      </c>
      <c r="AO22" s="18">
        <v>0.8</v>
      </c>
      <c r="AP22" s="18">
        <v>0.83099999999999996</v>
      </c>
      <c r="AQ22" s="14">
        <v>0.8</v>
      </c>
      <c r="AR22" s="14">
        <v>0.7</v>
      </c>
      <c r="AS22" s="14">
        <v>0.7</v>
      </c>
      <c r="AT22" s="14">
        <v>0.7</v>
      </c>
      <c r="AU22" s="14">
        <v>0.8</v>
      </c>
      <c r="AV22" s="14">
        <v>0.8</v>
      </c>
      <c r="AW22" s="14">
        <v>0.4</v>
      </c>
      <c r="AX22" s="23"/>
    </row>
    <row r="23" spans="2:50" x14ac:dyDescent="0.3">
      <c r="B23" s="15" t="s">
        <v>25</v>
      </c>
      <c r="C23" s="16">
        <v>7.3</v>
      </c>
      <c r="D23" s="16">
        <v>236.4</v>
      </c>
      <c r="E23" s="16">
        <v>219.4</v>
      </c>
      <c r="F23" s="16">
        <v>207.5</v>
      </c>
      <c r="G23" s="16">
        <v>164.8</v>
      </c>
      <c r="H23" s="16">
        <v>164.70000000000002</v>
      </c>
      <c r="I23" s="16">
        <v>47.5</v>
      </c>
      <c r="J23" s="16">
        <v>38.4</v>
      </c>
      <c r="K23" s="16">
        <v>14.8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6">
        <v>0</v>
      </c>
      <c r="AG23" s="16">
        <v>0</v>
      </c>
      <c r="AH23" s="16">
        <v>0</v>
      </c>
      <c r="AI23" s="16">
        <v>0</v>
      </c>
      <c r="AJ23" s="16">
        <v>0</v>
      </c>
      <c r="AK23" s="16">
        <v>0</v>
      </c>
      <c r="AL23" s="16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0</v>
      </c>
      <c r="AR23" s="16">
        <v>0</v>
      </c>
      <c r="AS23" s="16">
        <v>0</v>
      </c>
      <c r="AT23" s="16">
        <v>0</v>
      </c>
      <c r="AU23" s="16">
        <v>0</v>
      </c>
      <c r="AV23" s="16">
        <v>0</v>
      </c>
      <c r="AW23" s="16">
        <v>0</v>
      </c>
      <c r="AX23" s="23"/>
    </row>
    <row r="24" spans="2:50" ht="21" customHeight="1" x14ac:dyDescent="0.3">
      <c r="B24" s="8" t="s">
        <v>19</v>
      </c>
      <c r="C24" s="19">
        <f t="shared" ref="C24:D24" si="8">SUM(C22:C23)</f>
        <v>19.7</v>
      </c>
      <c r="D24" s="19">
        <f t="shared" si="8"/>
        <v>248.6</v>
      </c>
      <c r="E24" s="19">
        <f t="shared" ref="E24:F24" si="9">SUM(E22:E23)</f>
        <v>228.4</v>
      </c>
      <c r="F24" s="19">
        <f t="shared" si="9"/>
        <v>212.6</v>
      </c>
      <c r="G24" s="19">
        <f t="shared" ref="G24:H24" si="10">SUM(G22:G23)</f>
        <v>170.10000000000002</v>
      </c>
      <c r="H24" s="19">
        <f t="shared" si="10"/>
        <v>169.70000000000002</v>
      </c>
      <c r="I24" s="19">
        <f t="shared" ref="I24:AC24" si="11">SUM(I22:I23)</f>
        <v>52.3</v>
      </c>
      <c r="J24" s="19">
        <f t="shared" si="11"/>
        <v>43.199999999999996</v>
      </c>
      <c r="K24" s="19">
        <f t="shared" si="11"/>
        <v>19.400000000000002</v>
      </c>
      <c r="L24" s="19">
        <f t="shared" si="11"/>
        <v>4.7</v>
      </c>
      <c r="M24" s="19">
        <f t="shared" si="11"/>
        <v>4.5999999999999996</v>
      </c>
      <c r="N24" s="19">
        <f t="shared" si="11"/>
        <v>4.0999999999999996</v>
      </c>
      <c r="O24" s="19">
        <f t="shared" si="11"/>
        <v>4.0999999999999996</v>
      </c>
      <c r="P24" s="19">
        <f t="shared" si="11"/>
        <v>3.9</v>
      </c>
      <c r="Q24" s="19">
        <f t="shared" si="11"/>
        <v>3.6</v>
      </c>
      <c r="R24" s="19">
        <f t="shared" si="11"/>
        <v>1.4</v>
      </c>
      <c r="S24" s="19">
        <f t="shared" si="11"/>
        <v>1.4</v>
      </c>
      <c r="T24" s="19">
        <f t="shared" si="11"/>
        <v>1.3</v>
      </c>
      <c r="U24" s="19">
        <f t="shared" si="11"/>
        <v>1.3</v>
      </c>
      <c r="V24" s="19">
        <f t="shared" si="11"/>
        <v>1.4</v>
      </c>
      <c r="W24" s="19">
        <f t="shared" si="11"/>
        <v>1.3</v>
      </c>
      <c r="X24" s="19">
        <f t="shared" si="11"/>
        <v>1.3</v>
      </c>
      <c r="Y24" s="19">
        <f t="shared" si="11"/>
        <v>1.4000000000000001</v>
      </c>
      <c r="Z24" s="19">
        <f t="shared" si="11"/>
        <v>1.2</v>
      </c>
      <c r="AA24" s="19">
        <f t="shared" si="11"/>
        <v>1.4</v>
      </c>
      <c r="AB24" s="19">
        <f t="shared" si="11"/>
        <v>1.5</v>
      </c>
      <c r="AC24" s="19">
        <f t="shared" si="11"/>
        <v>1.5</v>
      </c>
      <c r="AD24" s="19">
        <v>1.3</v>
      </c>
      <c r="AE24" s="19">
        <v>1.1000000000000001</v>
      </c>
      <c r="AF24" s="19">
        <v>1.1000000000000001</v>
      </c>
      <c r="AG24" s="19">
        <v>1.1000000000000001</v>
      </c>
      <c r="AH24" s="19">
        <v>0.9</v>
      </c>
      <c r="AI24" s="19">
        <v>0.9</v>
      </c>
      <c r="AJ24" s="19">
        <v>0.8</v>
      </c>
      <c r="AK24" s="19">
        <v>0.8</v>
      </c>
      <c r="AL24" s="19">
        <v>0.8</v>
      </c>
      <c r="AM24" s="19">
        <v>0.9</v>
      </c>
      <c r="AN24" s="19">
        <v>0.8</v>
      </c>
      <c r="AO24" s="19">
        <v>0.8</v>
      </c>
      <c r="AP24" s="19">
        <v>0.83099999999999996</v>
      </c>
      <c r="AQ24" s="19">
        <v>0.8</v>
      </c>
      <c r="AR24" s="19">
        <v>0.7</v>
      </c>
      <c r="AS24" s="19">
        <v>0.7</v>
      </c>
      <c r="AT24" s="19">
        <v>0.7</v>
      </c>
      <c r="AU24" s="19">
        <v>0.8</v>
      </c>
      <c r="AV24" s="19">
        <v>0.8</v>
      </c>
      <c r="AW24" s="19">
        <v>0.4</v>
      </c>
    </row>
    <row r="25" spans="2:50" s="3" customFormat="1" ht="21" customHeight="1" x14ac:dyDescent="0.3">
      <c r="B25" s="8" t="s">
        <v>20</v>
      </c>
      <c r="C25" s="16">
        <v>1.7</v>
      </c>
      <c r="D25" s="16">
        <v>1.7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9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9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142.19999999999999</v>
      </c>
      <c r="AC25" s="16">
        <v>142</v>
      </c>
      <c r="AD25" s="16">
        <v>130.5</v>
      </c>
      <c r="AE25" s="16">
        <v>157.69999999999999</v>
      </c>
      <c r="AF25" s="16">
        <v>176.8</v>
      </c>
      <c r="AG25" s="16">
        <v>170.1</v>
      </c>
      <c r="AH25" s="16">
        <v>150.1</v>
      </c>
      <c r="AI25" s="16">
        <v>136.30000000000001</v>
      </c>
      <c r="AJ25" s="16">
        <v>99.4</v>
      </c>
      <c r="AK25" s="16">
        <v>121.60000000000001</v>
      </c>
      <c r="AL25" s="16">
        <v>121.6</v>
      </c>
      <c r="AM25" s="16">
        <v>137.80000000000001</v>
      </c>
      <c r="AN25" s="16">
        <v>134.80000000000001</v>
      </c>
      <c r="AO25" s="16">
        <v>121.1</v>
      </c>
      <c r="AP25" s="16">
        <v>123.631</v>
      </c>
      <c r="AQ25" s="17">
        <v>173.4</v>
      </c>
      <c r="AR25" s="17">
        <v>179</v>
      </c>
      <c r="AS25" s="17">
        <v>181.4</v>
      </c>
      <c r="AT25" s="17">
        <v>174.5</v>
      </c>
      <c r="AU25" s="17">
        <v>171.1</v>
      </c>
      <c r="AV25" s="17">
        <v>179.6</v>
      </c>
      <c r="AW25" s="17">
        <v>371.3</v>
      </c>
    </row>
    <row r="26" spans="2:50" ht="21" customHeight="1" x14ac:dyDescent="0.3">
      <c r="B26" s="8" t="s">
        <v>21</v>
      </c>
      <c r="C26" s="19">
        <f t="shared" ref="C26:D26" si="12">+C14+C20+C21+C24+C25</f>
        <v>8938.0000000000018</v>
      </c>
      <c r="D26" s="19">
        <f t="shared" si="12"/>
        <v>10578.2</v>
      </c>
      <c r="E26" s="19">
        <f t="shared" ref="E26:F26" si="13">+E14+E20+E21+E24+E25</f>
        <v>8057.6999999999989</v>
      </c>
      <c r="F26" s="19">
        <f t="shared" si="13"/>
        <v>7906.7</v>
      </c>
      <c r="G26" s="19">
        <f t="shared" ref="G26:H26" si="14">+G14+G20+G21+G24+G25</f>
        <v>7749.3000000000011</v>
      </c>
      <c r="H26" s="19">
        <f t="shared" si="14"/>
        <v>7670.7999999999993</v>
      </c>
      <c r="I26" s="19">
        <f t="shared" ref="I26:U26" si="15">+I14+I20+I21+I24+I25</f>
        <v>7552.1</v>
      </c>
      <c r="J26" s="19">
        <f t="shared" si="15"/>
        <v>7335.7</v>
      </c>
      <c r="K26" s="19">
        <f t="shared" si="15"/>
        <v>6523.6</v>
      </c>
      <c r="L26" s="19">
        <f t="shared" si="15"/>
        <v>6426.5</v>
      </c>
      <c r="M26" s="19">
        <f t="shared" si="15"/>
        <v>6405.5000000000009</v>
      </c>
      <c r="N26" s="19">
        <f t="shared" si="15"/>
        <v>6378.0000000000018</v>
      </c>
      <c r="O26" s="19">
        <f t="shared" si="15"/>
        <v>6359.8</v>
      </c>
      <c r="P26" s="19">
        <f t="shared" si="15"/>
        <v>6355</v>
      </c>
      <c r="Q26" s="19">
        <f t="shared" si="15"/>
        <v>6374.7</v>
      </c>
      <c r="R26" s="19">
        <f t="shared" si="15"/>
        <v>6392.2000000000007</v>
      </c>
      <c r="S26" s="19">
        <f t="shared" si="15"/>
        <v>882.1</v>
      </c>
      <c r="T26" s="19">
        <f t="shared" si="15"/>
        <v>792.8</v>
      </c>
      <c r="U26" s="19">
        <f t="shared" si="15"/>
        <v>683.8</v>
      </c>
      <c r="V26" s="19">
        <f t="shared" ref="V26:AC26" si="16">+V14+V20+V24+V25</f>
        <v>552.69999999999993</v>
      </c>
      <c r="W26" s="19">
        <f t="shared" si="16"/>
        <v>480.5</v>
      </c>
      <c r="X26" s="19">
        <f t="shared" si="16"/>
        <v>445.3</v>
      </c>
      <c r="Y26" s="19">
        <f t="shared" si="16"/>
        <v>401.4</v>
      </c>
      <c r="Z26" s="19">
        <f t="shared" si="16"/>
        <v>382.2</v>
      </c>
      <c r="AA26" s="19">
        <f t="shared" si="16"/>
        <v>341.2</v>
      </c>
      <c r="AB26" s="19">
        <f t="shared" si="16"/>
        <v>508.2</v>
      </c>
      <c r="AC26" s="19">
        <f t="shared" si="16"/>
        <v>534.5</v>
      </c>
      <c r="AD26" s="19">
        <v>541.09999999999991</v>
      </c>
      <c r="AE26" s="19">
        <v>584.40000000000009</v>
      </c>
      <c r="AF26" s="19">
        <v>636.5</v>
      </c>
      <c r="AG26" s="19">
        <v>614</v>
      </c>
      <c r="AH26" s="19">
        <v>585</v>
      </c>
      <c r="AI26" s="19">
        <v>552.79999999999995</v>
      </c>
      <c r="AJ26" s="19">
        <v>518</v>
      </c>
      <c r="AK26" s="19">
        <v>540</v>
      </c>
      <c r="AL26" s="19">
        <v>568.19999999999993</v>
      </c>
      <c r="AM26" s="19">
        <v>592.5</v>
      </c>
      <c r="AN26" s="19">
        <v>582.1</v>
      </c>
      <c r="AO26" s="19">
        <v>560.5</v>
      </c>
      <c r="AP26" s="19">
        <v>551.8370000000001</v>
      </c>
      <c r="AQ26" s="19">
        <v>585.70000000000005</v>
      </c>
      <c r="AR26" s="19">
        <v>556</v>
      </c>
      <c r="AS26" s="19">
        <v>653</v>
      </c>
      <c r="AT26" s="19">
        <v>644.29999999999995</v>
      </c>
      <c r="AU26" s="19">
        <v>635.69999999999993</v>
      </c>
      <c r="AV26" s="19">
        <v>646.30000000000007</v>
      </c>
      <c r="AW26" s="19">
        <v>842.89999999999986</v>
      </c>
    </row>
    <row r="27" spans="2:50" ht="21" customHeight="1" x14ac:dyDescent="0.3">
      <c r="B27" s="8" t="s">
        <v>132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22.2</v>
      </c>
      <c r="T27" s="16">
        <v>22.2</v>
      </c>
      <c r="U27" s="16">
        <v>22.2</v>
      </c>
      <c r="V27" s="16">
        <v>22.2</v>
      </c>
      <c r="W27" s="16">
        <v>22.2</v>
      </c>
      <c r="X27" s="16">
        <v>22.2</v>
      </c>
      <c r="Y27" s="16">
        <v>22.2</v>
      </c>
      <c r="Z27" s="16">
        <v>22.2</v>
      </c>
      <c r="AA27" s="16">
        <v>22.2</v>
      </c>
      <c r="AB27" s="16">
        <v>70.099999999999994</v>
      </c>
      <c r="AC27" s="16">
        <v>70.099999999999994</v>
      </c>
      <c r="AD27" s="16">
        <v>70.099999999999994</v>
      </c>
      <c r="AE27" s="16">
        <v>70.099999999999994</v>
      </c>
      <c r="AF27" s="16">
        <v>70.099999999999994</v>
      </c>
      <c r="AG27" s="16">
        <v>70.099999999999994</v>
      </c>
      <c r="AH27" s="16">
        <v>70.099999999999994</v>
      </c>
      <c r="AI27" s="16">
        <v>66.8</v>
      </c>
      <c r="AJ27" s="16">
        <v>66.900000000000006</v>
      </c>
      <c r="AK27" s="16">
        <v>69.7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</row>
    <row r="28" spans="2:50" ht="21" customHeight="1" x14ac:dyDescent="0.3">
      <c r="B28" s="8" t="s">
        <v>22</v>
      </c>
      <c r="C28" s="16">
        <v>1739.9</v>
      </c>
      <c r="D28" s="16">
        <v>1508.4</v>
      </c>
      <c r="E28" s="16">
        <v>1203.0999999999999</v>
      </c>
      <c r="F28" s="16">
        <v>919.1</v>
      </c>
      <c r="G28" s="16">
        <v>591.20000000000005</v>
      </c>
      <c r="H28" s="19">
        <v>518.4</v>
      </c>
      <c r="I28" s="19">
        <v>603.6</v>
      </c>
      <c r="J28" s="19">
        <v>480</v>
      </c>
      <c r="K28" s="19">
        <v>553.29999999999995</v>
      </c>
      <c r="L28" s="16">
        <v>667.4</v>
      </c>
      <c r="M28" s="16">
        <v>552.79999999999995</v>
      </c>
      <c r="N28" s="16">
        <v>521.1</v>
      </c>
      <c r="O28" s="16">
        <v>357.5</v>
      </c>
      <c r="P28" s="16">
        <v>154.6</v>
      </c>
      <c r="Q28" s="16">
        <v>186.8</v>
      </c>
      <c r="R28" s="16">
        <v>100.8</v>
      </c>
      <c r="S28" s="16">
        <v>78.400000000000006</v>
      </c>
      <c r="T28" s="16">
        <v>97.2</v>
      </c>
      <c r="U28" s="16">
        <v>74.3</v>
      </c>
      <c r="V28" s="16">
        <v>78.7</v>
      </c>
      <c r="W28" s="16">
        <v>130.9</v>
      </c>
      <c r="X28" s="16">
        <v>139.80000000000001</v>
      </c>
      <c r="Y28" s="16">
        <v>113.4</v>
      </c>
      <c r="Z28" s="16">
        <f>111.8+0.1</f>
        <v>111.89999999999999</v>
      </c>
      <c r="AA28" s="16">
        <v>96.7</v>
      </c>
      <c r="AB28" s="16">
        <v>152.6</v>
      </c>
      <c r="AC28" s="16">
        <v>186.8</v>
      </c>
      <c r="AD28" s="16">
        <v>147</v>
      </c>
      <c r="AE28" s="16">
        <v>153.4</v>
      </c>
      <c r="AF28" s="16">
        <v>192.7</v>
      </c>
      <c r="AG28" s="16">
        <v>114.7</v>
      </c>
      <c r="AH28" s="16">
        <v>91</v>
      </c>
      <c r="AI28" s="16">
        <v>154.1</v>
      </c>
      <c r="AJ28" s="16">
        <v>140.5</v>
      </c>
      <c r="AK28" s="16">
        <v>142.4</v>
      </c>
      <c r="AL28" s="16">
        <v>121.8</v>
      </c>
      <c r="AM28" s="16">
        <v>232.8</v>
      </c>
      <c r="AN28" s="16">
        <v>236.3</v>
      </c>
      <c r="AO28" s="16">
        <v>204.6</v>
      </c>
      <c r="AP28" s="16">
        <v>233.65100000000001</v>
      </c>
      <c r="AQ28" s="17">
        <v>217.7</v>
      </c>
      <c r="AR28" s="17">
        <v>233.2</v>
      </c>
      <c r="AS28" s="17">
        <v>184.6</v>
      </c>
      <c r="AT28" s="17">
        <v>229.2</v>
      </c>
      <c r="AU28" s="17">
        <v>255.4</v>
      </c>
      <c r="AV28" s="17">
        <v>262.7</v>
      </c>
      <c r="AW28" s="17">
        <v>273.10000000000002</v>
      </c>
    </row>
    <row r="29" spans="2:50" ht="21" customHeight="1" x14ac:dyDescent="0.3">
      <c r="B29" s="5" t="s">
        <v>23</v>
      </c>
      <c r="C29" s="18">
        <v>1162.3</v>
      </c>
      <c r="D29" s="18">
        <v>1310.2</v>
      </c>
      <c r="E29" s="18">
        <v>741.4</v>
      </c>
      <c r="F29" s="18">
        <v>523.1</v>
      </c>
      <c r="G29" s="18">
        <v>654.29999999999995</v>
      </c>
      <c r="H29" s="18">
        <v>506.9</v>
      </c>
      <c r="I29" s="18">
        <v>285.39999999999998</v>
      </c>
      <c r="J29" s="18">
        <v>381.6</v>
      </c>
      <c r="K29" s="18">
        <v>303</v>
      </c>
      <c r="L29" s="18">
        <v>340</v>
      </c>
      <c r="M29" s="18">
        <v>159.19999999999999</v>
      </c>
      <c r="N29" s="18">
        <v>139.30000000000001</v>
      </c>
      <c r="O29" s="18">
        <v>130.69999999999999</v>
      </c>
      <c r="P29" s="18">
        <v>318.3</v>
      </c>
      <c r="Q29" s="18">
        <v>210.6</v>
      </c>
      <c r="R29" s="18">
        <v>43.4</v>
      </c>
      <c r="S29" s="18">
        <v>42.1</v>
      </c>
      <c r="T29" s="18">
        <v>82.2</v>
      </c>
      <c r="U29" s="18">
        <v>20.100000000000001</v>
      </c>
      <c r="V29" s="18">
        <v>31.2</v>
      </c>
      <c r="W29" s="18">
        <v>21.7</v>
      </c>
      <c r="X29" s="18">
        <v>30.9</v>
      </c>
      <c r="Y29" s="18">
        <v>12</v>
      </c>
      <c r="Z29" s="18">
        <v>19.399999999999999</v>
      </c>
      <c r="AA29" s="13">
        <v>18</v>
      </c>
      <c r="AB29" s="13">
        <v>4.4000000000000004</v>
      </c>
      <c r="AC29" s="13">
        <v>13.1</v>
      </c>
      <c r="AD29" s="13">
        <v>130.4</v>
      </c>
      <c r="AE29" s="13">
        <v>495.3</v>
      </c>
      <c r="AF29" s="13">
        <v>56.2</v>
      </c>
      <c r="AG29" s="13">
        <v>51.4</v>
      </c>
      <c r="AH29" s="18">
        <v>137.9</v>
      </c>
      <c r="AI29" s="18">
        <v>88.9</v>
      </c>
      <c r="AJ29" s="18">
        <v>183.3</v>
      </c>
      <c r="AK29" s="18">
        <v>68.400000000000006</v>
      </c>
      <c r="AL29" s="18">
        <v>186.8</v>
      </c>
      <c r="AM29" s="18">
        <v>184.4</v>
      </c>
      <c r="AN29" s="13">
        <v>105.8</v>
      </c>
      <c r="AO29" s="13">
        <v>129.9</v>
      </c>
      <c r="AP29" s="13">
        <v>110.117</v>
      </c>
      <c r="AQ29" s="14">
        <v>190.3</v>
      </c>
      <c r="AR29" s="14">
        <v>111</v>
      </c>
      <c r="AS29" s="14">
        <v>87.6</v>
      </c>
      <c r="AT29" s="14">
        <v>56.5</v>
      </c>
      <c r="AU29" s="14">
        <v>113.4</v>
      </c>
      <c r="AV29" s="14">
        <v>149.4</v>
      </c>
      <c r="AW29" s="14">
        <v>113</v>
      </c>
    </row>
    <row r="30" spans="2:50" x14ac:dyDescent="0.3">
      <c r="B30" s="5" t="s">
        <v>24</v>
      </c>
      <c r="C30" s="18">
        <v>0.1</v>
      </c>
      <c r="D30" s="18">
        <v>0.1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1</v>
      </c>
      <c r="P30" s="18">
        <v>1</v>
      </c>
      <c r="Q30" s="18">
        <v>0.7</v>
      </c>
      <c r="R30" s="18">
        <v>0.8</v>
      </c>
      <c r="S30" s="18">
        <v>0</v>
      </c>
      <c r="T30" s="18">
        <v>0</v>
      </c>
      <c r="U30" s="18">
        <v>0</v>
      </c>
      <c r="V30" s="18">
        <v>0</v>
      </c>
      <c r="W30" s="18">
        <v>5.4</v>
      </c>
      <c r="X30" s="18">
        <v>5.4</v>
      </c>
      <c r="Y30" s="18">
        <v>5.4</v>
      </c>
      <c r="Z30" s="18">
        <v>5.4</v>
      </c>
      <c r="AA30" s="13">
        <v>0</v>
      </c>
      <c r="AB30" s="13">
        <v>0</v>
      </c>
      <c r="AC30" s="13">
        <v>5.0999999999999996</v>
      </c>
      <c r="AD30" s="13">
        <v>2.5</v>
      </c>
      <c r="AE30" s="13">
        <v>0</v>
      </c>
      <c r="AF30" s="13">
        <v>5.4</v>
      </c>
      <c r="AG30" s="13">
        <v>5.4</v>
      </c>
      <c r="AH30" s="18">
        <v>4.2</v>
      </c>
      <c r="AI30" s="18">
        <v>4.5</v>
      </c>
      <c r="AJ30" s="18">
        <v>3.1000000000000014</v>
      </c>
      <c r="AK30" s="18">
        <v>3</v>
      </c>
      <c r="AL30" s="18">
        <v>4.9000000000000004</v>
      </c>
      <c r="AM30" s="18">
        <v>1.7</v>
      </c>
      <c r="AN30" s="13">
        <v>2.6</v>
      </c>
      <c r="AO30" s="13">
        <v>2.2999999999999998</v>
      </c>
      <c r="AP30" s="13">
        <v>0</v>
      </c>
      <c r="AQ30" s="14">
        <v>1.3</v>
      </c>
      <c r="AR30" s="14">
        <v>1.3</v>
      </c>
      <c r="AS30" s="14">
        <v>1.3</v>
      </c>
      <c r="AT30" s="14">
        <v>1.5</v>
      </c>
      <c r="AU30" s="14">
        <v>0</v>
      </c>
      <c r="AV30" s="14">
        <v>0</v>
      </c>
      <c r="AW30" s="14">
        <v>0</v>
      </c>
    </row>
    <row r="31" spans="2:50" x14ac:dyDescent="0.3">
      <c r="B31" s="5" t="s">
        <v>18</v>
      </c>
      <c r="C31" s="18">
        <v>20.2</v>
      </c>
      <c r="D31" s="18">
        <v>33.799999999999997</v>
      </c>
      <c r="E31" s="18">
        <v>42.3</v>
      </c>
      <c r="F31" s="18">
        <v>43.2</v>
      </c>
      <c r="G31" s="18">
        <v>26.2</v>
      </c>
      <c r="H31" s="18">
        <v>29.4</v>
      </c>
      <c r="I31" s="18">
        <v>36.200000000000003</v>
      </c>
      <c r="J31" s="18">
        <v>66.5</v>
      </c>
      <c r="K31" s="18">
        <v>43.2</v>
      </c>
      <c r="L31" s="18">
        <v>27.8</v>
      </c>
      <c r="M31" s="18">
        <v>23.4</v>
      </c>
      <c r="N31" s="18">
        <v>37.4</v>
      </c>
      <c r="O31" s="18">
        <v>25</v>
      </c>
      <c r="P31" s="18">
        <v>24</v>
      </c>
      <c r="Q31" s="18">
        <v>18.2</v>
      </c>
      <c r="R31" s="18">
        <v>28.4</v>
      </c>
      <c r="S31" s="18">
        <v>31</v>
      </c>
      <c r="T31" s="18">
        <v>25</v>
      </c>
      <c r="U31" s="18">
        <v>19.5</v>
      </c>
      <c r="V31" s="18">
        <v>21.3</v>
      </c>
      <c r="W31" s="18">
        <v>22.8</v>
      </c>
      <c r="X31" s="18">
        <v>20</v>
      </c>
      <c r="Y31" s="18">
        <v>21.6</v>
      </c>
      <c r="Z31" s="18">
        <v>22.9</v>
      </c>
      <c r="AA31" s="13">
        <v>17.7</v>
      </c>
      <c r="AB31" s="13">
        <v>15.4</v>
      </c>
      <c r="AC31" s="13">
        <v>11.6</v>
      </c>
      <c r="AD31" s="13">
        <v>25.4</v>
      </c>
      <c r="AE31" s="13">
        <v>18.7</v>
      </c>
      <c r="AF31" s="13">
        <v>12.9</v>
      </c>
      <c r="AG31" s="13">
        <v>13.5</v>
      </c>
      <c r="AH31" s="18">
        <v>19.7</v>
      </c>
      <c r="AI31" s="18">
        <v>13.5</v>
      </c>
      <c r="AJ31" s="18">
        <v>11.1</v>
      </c>
      <c r="AK31" s="18">
        <v>10.7</v>
      </c>
      <c r="AL31" s="18">
        <v>14.5</v>
      </c>
      <c r="AM31" s="18">
        <v>4.5</v>
      </c>
      <c r="AN31" s="13">
        <v>8.6</v>
      </c>
      <c r="AO31" s="13">
        <v>5.9</v>
      </c>
      <c r="AP31" s="13">
        <v>12.614000000000001</v>
      </c>
      <c r="AQ31" s="14">
        <v>19.100000000000001</v>
      </c>
      <c r="AR31" s="14">
        <v>8.1</v>
      </c>
      <c r="AS31" s="14">
        <v>8.5</v>
      </c>
      <c r="AT31" s="14">
        <v>10.1</v>
      </c>
      <c r="AU31" s="14">
        <v>14.100000000000001</v>
      </c>
      <c r="AV31" s="14">
        <v>8.6</v>
      </c>
      <c r="AW31" s="14">
        <v>9.1</v>
      </c>
    </row>
    <row r="32" spans="2:50" x14ac:dyDescent="0.3">
      <c r="B32" s="15" t="s">
        <v>25</v>
      </c>
      <c r="C32" s="16">
        <v>32.4</v>
      </c>
      <c r="D32" s="16">
        <v>177.6</v>
      </c>
      <c r="E32" s="16">
        <v>165.2</v>
      </c>
      <c r="F32" s="16">
        <v>153.9</v>
      </c>
      <c r="G32" s="16">
        <v>32.5</v>
      </c>
      <c r="H32" s="16">
        <v>49.6</v>
      </c>
      <c r="I32" s="16">
        <v>67.2</v>
      </c>
      <c r="J32" s="16">
        <v>108.9</v>
      </c>
      <c r="K32" s="16">
        <v>56.4</v>
      </c>
      <c r="L32" s="16">
        <v>33.299999999999997</v>
      </c>
      <c r="M32" s="16">
        <v>18.900000000000002</v>
      </c>
      <c r="N32" s="16">
        <v>13.7</v>
      </c>
      <c r="O32" s="16">
        <v>8</v>
      </c>
      <c r="P32" s="16">
        <v>9.9</v>
      </c>
      <c r="Q32" s="16">
        <v>9.1999999999999993</v>
      </c>
      <c r="R32" s="58">
        <v>9.1999999999999993</v>
      </c>
      <c r="S32" s="58">
        <v>11.8</v>
      </c>
      <c r="T32" s="58">
        <v>14.9</v>
      </c>
      <c r="U32" s="58">
        <v>14.1</v>
      </c>
      <c r="V32" s="58">
        <v>37.6</v>
      </c>
      <c r="W32" s="16">
        <v>12.3</v>
      </c>
      <c r="X32" s="58">
        <v>12.1</v>
      </c>
      <c r="Y32" s="58">
        <v>7.9</v>
      </c>
      <c r="Z32" s="58">
        <v>5</v>
      </c>
      <c r="AA32" s="58">
        <v>4.2</v>
      </c>
      <c r="AB32" s="58">
        <v>5</v>
      </c>
      <c r="AC32" s="58">
        <v>3.9</v>
      </c>
      <c r="AD32" s="58">
        <v>7.3</v>
      </c>
      <c r="AE32" s="58">
        <v>6.5</v>
      </c>
      <c r="AF32" s="58">
        <v>5.9</v>
      </c>
      <c r="AG32" s="58">
        <v>21.5</v>
      </c>
      <c r="AH32" s="58">
        <v>23.2</v>
      </c>
      <c r="AI32" s="58">
        <v>24.6</v>
      </c>
      <c r="AJ32" s="58">
        <v>12.7</v>
      </c>
      <c r="AK32" s="58">
        <v>22.2</v>
      </c>
      <c r="AL32" s="58">
        <v>11.4</v>
      </c>
      <c r="AM32" s="58">
        <v>11.8</v>
      </c>
      <c r="AN32" s="17">
        <v>17.3</v>
      </c>
      <c r="AO32" s="17">
        <v>14.3</v>
      </c>
      <c r="AP32" s="17">
        <v>11.906000000000001</v>
      </c>
      <c r="AQ32" s="17">
        <v>14.3</v>
      </c>
      <c r="AR32" s="17">
        <v>13.4</v>
      </c>
      <c r="AS32" s="17">
        <v>31.2</v>
      </c>
      <c r="AT32" s="17">
        <v>47.7</v>
      </c>
      <c r="AU32" s="17">
        <v>79</v>
      </c>
      <c r="AV32" s="17">
        <v>111</v>
      </c>
      <c r="AW32" s="17">
        <v>118.9</v>
      </c>
    </row>
    <row r="33" spans="2:49" ht="21" customHeight="1" x14ac:dyDescent="0.3">
      <c r="B33" s="8" t="s">
        <v>26</v>
      </c>
      <c r="C33" s="19">
        <f t="shared" ref="C33:D33" si="17">SUM(C29:C32)</f>
        <v>1215</v>
      </c>
      <c r="D33" s="19">
        <f t="shared" si="17"/>
        <v>1521.6999999999998</v>
      </c>
      <c r="E33" s="19">
        <f t="shared" ref="E33:F33" si="18">SUM(E29:E32)</f>
        <v>948.89999999999986</v>
      </c>
      <c r="F33" s="19">
        <f t="shared" si="18"/>
        <v>720.2</v>
      </c>
      <c r="G33" s="19">
        <f t="shared" ref="G33:H33" si="19">SUM(G29:G32)</f>
        <v>713</v>
      </c>
      <c r="H33" s="19">
        <f t="shared" si="19"/>
        <v>585.9</v>
      </c>
      <c r="I33" s="19">
        <f t="shared" ref="I33:AC33" si="20">SUM(I29:I32)</f>
        <v>388.79999999999995</v>
      </c>
      <c r="J33" s="19">
        <f t="shared" si="20"/>
        <v>557</v>
      </c>
      <c r="K33" s="19">
        <f t="shared" si="20"/>
        <v>402.59999999999997</v>
      </c>
      <c r="L33" s="19">
        <f t="shared" si="20"/>
        <v>401.1</v>
      </c>
      <c r="M33" s="19">
        <f t="shared" si="20"/>
        <v>201.5</v>
      </c>
      <c r="N33" s="19">
        <f t="shared" si="20"/>
        <v>190.4</v>
      </c>
      <c r="O33" s="19">
        <f t="shared" si="20"/>
        <v>164.7</v>
      </c>
      <c r="P33" s="19">
        <f t="shared" si="20"/>
        <v>353.2</v>
      </c>
      <c r="Q33" s="19">
        <f t="shared" si="20"/>
        <v>238.69999999999996</v>
      </c>
      <c r="R33" s="19">
        <f t="shared" si="20"/>
        <v>81.8</v>
      </c>
      <c r="S33" s="19">
        <f t="shared" si="20"/>
        <v>84.899999999999991</v>
      </c>
      <c r="T33" s="19">
        <f t="shared" si="20"/>
        <v>122.10000000000001</v>
      </c>
      <c r="U33" s="19">
        <f t="shared" si="20"/>
        <v>53.7</v>
      </c>
      <c r="V33" s="19">
        <f t="shared" si="20"/>
        <v>90.1</v>
      </c>
      <c r="W33" s="19">
        <f t="shared" si="20"/>
        <v>62.2</v>
      </c>
      <c r="X33" s="19">
        <f t="shared" si="20"/>
        <v>68.399999999999991</v>
      </c>
      <c r="Y33" s="19">
        <f t="shared" si="20"/>
        <v>46.9</v>
      </c>
      <c r="Z33" s="19">
        <f t="shared" si="20"/>
        <v>52.699999999999996</v>
      </c>
      <c r="AA33" s="19">
        <f t="shared" si="20"/>
        <v>39.900000000000006</v>
      </c>
      <c r="AB33" s="19">
        <f t="shared" si="20"/>
        <v>24.8</v>
      </c>
      <c r="AC33" s="19">
        <f t="shared" si="20"/>
        <v>33.699999999999996</v>
      </c>
      <c r="AD33" s="19">
        <v>165.60000000000002</v>
      </c>
      <c r="AE33" s="19">
        <v>520.5</v>
      </c>
      <c r="AF33" s="19">
        <v>80.400000000000006</v>
      </c>
      <c r="AG33" s="19">
        <v>91.8</v>
      </c>
      <c r="AH33" s="19">
        <v>184.99999999999997</v>
      </c>
      <c r="AI33" s="19">
        <v>131.5</v>
      </c>
      <c r="AJ33" s="19">
        <v>210.2</v>
      </c>
      <c r="AK33" s="19">
        <v>104.30000000000001</v>
      </c>
      <c r="AL33" s="19">
        <v>217.60000000000002</v>
      </c>
      <c r="AM33" s="19">
        <v>202.4</v>
      </c>
      <c r="AN33" s="19">
        <v>134.29999999999998</v>
      </c>
      <c r="AO33" s="19">
        <v>152.40000000000003</v>
      </c>
      <c r="AP33" s="19">
        <v>134.637</v>
      </c>
      <c r="AQ33" s="19">
        <v>225.00000000000003</v>
      </c>
      <c r="AR33" s="19">
        <v>133.79999999999998</v>
      </c>
      <c r="AS33" s="19">
        <v>128.6</v>
      </c>
      <c r="AT33" s="19">
        <v>115.8</v>
      </c>
      <c r="AU33" s="19">
        <v>206.5</v>
      </c>
      <c r="AV33" s="19">
        <v>269</v>
      </c>
      <c r="AW33" s="19">
        <v>241</v>
      </c>
    </row>
    <row r="34" spans="2:49" ht="21" customHeight="1" x14ac:dyDescent="0.3">
      <c r="B34" s="5" t="s">
        <v>27</v>
      </c>
      <c r="C34" s="18">
        <v>474.1</v>
      </c>
      <c r="D34" s="18">
        <v>553.1</v>
      </c>
      <c r="E34" s="18">
        <v>1699.4</v>
      </c>
      <c r="F34" s="18">
        <v>2269.8000000000002</v>
      </c>
      <c r="G34" s="18">
        <v>2522.9</v>
      </c>
      <c r="H34" s="18">
        <v>2962.6</v>
      </c>
      <c r="I34" s="18">
        <v>3045.7</v>
      </c>
      <c r="J34" s="18">
        <v>3124.8</v>
      </c>
      <c r="K34" s="18">
        <v>2296.1999999999998</v>
      </c>
      <c r="L34" s="18">
        <v>2327.5</v>
      </c>
      <c r="M34" s="18">
        <v>2342.8000000000002</v>
      </c>
      <c r="N34" s="18">
        <v>1384.1</v>
      </c>
      <c r="O34" s="18">
        <v>2007.7</v>
      </c>
      <c r="P34" s="18">
        <v>2003</v>
      </c>
      <c r="Q34" s="18">
        <v>740.6</v>
      </c>
      <c r="R34" s="18">
        <v>174.8</v>
      </c>
      <c r="S34" s="18">
        <v>1391</v>
      </c>
      <c r="T34" s="18">
        <v>1523.5</v>
      </c>
      <c r="U34" s="18">
        <v>1787.5</v>
      </c>
      <c r="V34" s="18">
        <v>2050.5</v>
      </c>
      <c r="W34" s="18">
        <v>2061.8000000000002</v>
      </c>
      <c r="X34" s="18">
        <v>2300.1999999999998</v>
      </c>
      <c r="Y34" s="18">
        <v>2295.6</v>
      </c>
      <c r="Z34" s="18">
        <v>2301.1999999999998</v>
      </c>
      <c r="AA34" s="13">
        <v>1957</v>
      </c>
      <c r="AB34" s="13">
        <v>1954.3</v>
      </c>
      <c r="AC34" s="13">
        <v>1051.2</v>
      </c>
      <c r="AD34" s="13">
        <v>1046.3</v>
      </c>
      <c r="AE34" s="13">
        <v>1045.2</v>
      </c>
      <c r="AF34" s="13">
        <v>1042.8</v>
      </c>
      <c r="AG34" s="13">
        <v>787</v>
      </c>
      <c r="AH34" s="18">
        <v>684.1</v>
      </c>
      <c r="AI34" s="18">
        <v>771.6</v>
      </c>
      <c r="AJ34" s="18">
        <v>779.8</v>
      </c>
      <c r="AK34" s="18">
        <v>588.20000000000005</v>
      </c>
      <c r="AL34" s="18">
        <v>581.29999999999995</v>
      </c>
      <c r="AM34" s="18">
        <v>90.1</v>
      </c>
      <c r="AN34" s="13">
        <v>187.9</v>
      </c>
      <c r="AO34" s="13">
        <v>187.7</v>
      </c>
      <c r="AP34" s="13">
        <v>185.28200000000001</v>
      </c>
      <c r="AQ34" s="14">
        <v>277.2</v>
      </c>
      <c r="AR34" s="14">
        <v>280.60000000000002</v>
      </c>
      <c r="AS34" s="14">
        <v>283.5</v>
      </c>
      <c r="AT34" s="14">
        <v>196.4</v>
      </c>
      <c r="AU34" s="14">
        <v>280</v>
      </c>
      <c r="AV34" s="14">
        <v>279.3</v>
      </c>
      <c r="AW34" s="14">
        <v>275.3</v>
      </c>
    </row>
    <row r="35" spans="2:49" x14ac:dyDescent="0.3">
      <c r="B35" s="15" t="s">
        <v>28</v>
      </c>
      <c r="C35" s="16">
        <v>1032.2</v>
      </c>
      <c r="D35" s="16">
        <v>831.9</v>
      </c>
      <c r="E35" s="16">
        <v>1271.7</v>
      </c>
      <c r="F35" s="16">
        <v>575.4</v>
      </c>
      <c r="G35" s="16">
        <v>718.6</v>
      </c>
      <c r="H35" s="16">
        <v>290.8</v>
      </c>
      <c r="I35" s="16">
        <v>401.4</v>
      </c>
      <c r="J35" s="16">
        <v>591.79999999999995</v>
      </c>
      <c r="K35" s="16">
        <v>341.8</v>
      </c>
      <c r="L35" s="16">
        <v>185.9</v>
      </c>
      <c r="M35" s="16">
        <v>245.8</v>
      </c>
      <c r="N35" s="16">
        <v>285.5</v>
      </c>
      <c r="O35" s="16">
        <v>561.4</v>
      </c>
      <c r="P35" s="16">
        <v>376.9</v>
      </c>
      <c r="Q35" s="58">
        <v>1464.5</v>
      </c>
      <c r="R35" s="58">
        <v>297.5</v>
      </c>
      <c r="S35" s="58">
        <v>104.6</v>
      </c>
      <c r="T35" s="58">
        <v>114.2</v>
      </c>
      <c r="U35" s="58">
        <v>140.30000000000001</v>
      </c>
      <c r="V35" s="58">
        <v>266.7</v>
      </c>
      <c r="W35" s="16">
        <v>345.7</v>
      </c>
      <c r="X35" s="58">
        <v>179.6</v>
      </c>
      <c r="Y35" s="58">
        <v>150.30000000000001</v>
      </c>
      <c r="Z35" s="58">
        <v>282.5</v>
      </c>
      <c r="AA35" s="58">
        <v>459.2</v>
      </c>
      <c r="AB35" s="58">
        <v>358.1</v>
      </c>
      <c r="AC35" s="58">
        <v>1005.2</v>
      </c>
      <c r="AD35" s="58">
        <v>853.6</v>
      </c>
      <c r="AE35" s="58">
        <v>209.3</v>
      </c>
      <c r="AF35" s="58">
        <v>459.2</v>
      </c>
      <c r="AG35" s="58">
        <v>185</v>
      </c>
      <c r="AH35" s="58">
        <v>374.1</v>
      </c>
      <c r="AI35" s="58">
        <v>462.3</v>
      </c>
      <c r="AJ35" s="58">
        <v>505.2</v>
      </c>
      <c r="AK35" s="58">
        <v>1019.3</v>
      </c>
      <c r="AL35" s="58">
        <v>398.4</v>
      </c>
      <c r="AM35" s="58">
        <v>146</v>
      </c>
      <c r="AN35" s="16">
        <v>114.6</v>
      </c>
      <c r="AO35" s="16">
        <v>227.2</v>
      </c>
      <c r="AP35" s="16">
        <v>346.79899999999998</v>
      </c>
      <c r="AQ35" s="17">
        <v>148.80000000000001</v>
      </c>
      <c r="AR35" s="17">
        <v>294</v>
      </c>
      <c r="AS35" s="17">
        <v>139.5</v>
      </c>
      <c r="AT35" s="17">
        <v>353.5</v>
      </c>
      <c r="AU35" s="17">
        <v>266.39999999999998</v>
      </c>
      <c r="AV35" s="17">
        <v>232</v>
      </c>
      <c r="AW35" s="17">
        <v>253.6</v>
      </c>
    </row>
    <row r="36" spans="2:49" s="3" customFormat="1" ht="21" customHeight="1" x14ac:dyDescent="0.3">
      <c r="B36" s="8" t="s">
        <v>29</v>
      </c>
      <c r="C36" s="19">
        <f t="shared" ref="C36:D36" si="21">SUM(C34:C35)</f>
        <v>1506.3000000000002</v>
      </c>
      <c r="D36" s="19">
        <f t="shared" si="21"/>
        <v>1385</v>
      </c>
      <c r="E36" s="19">
        <f t="shared" ref="E36:F36" si="22">SUM(E34:E35)</f>
        <v>2971.1000000000004</v>
      </c>
      <c r="F36" s="19">
        <f t="shared" si="22"/>
        <v>2845.2000000000003</v>
      </c>
      <c r="G36" s="19">
        <f t="shared" ref="G36:H36" si="23">SUM(G34:G35)</f>
        <v>3241.5</v>
      </c>
      <c r="H36" s="19">
        <f t="shared" si="23"/>
        <v>3253.4</v>
      </c>
      <c r="I36" s="19">
        <f t="shared" ref="I36:AC36" si="24">SUM(I34:I35)</f>
        <v>3447.1</v>
      </c>
      <c r="J36" s="19">
        <f t="shared" si="24"/>
        <v>3716.6000000000004</v>
      </c>
      <c r="K36" s="19">
        <f t="shared" si="24"/>
        <v>2638</v>
      </c>
      <c r="L36" s="19">
        <f t="shared" si="24"/>
        <v>2513.4</v>
      </c>
      <c r="M36" s="19">
        <f t="shared" si="24"/>
        <v>2588.6000000000004</v>
      </c>
      <c r="N36" s="19">
        <f t="shared" si="24"/>
        <v>1669.6</v>
      </c>
      <c r="O36" s="19">
        <f t="shared" si="24"/>
        <v>2569.1</v>
      </c>
      <c r="P36" s="19">
        <f t="shared" si="24"/>
        <v>2379.9</v>
      </c>
      <c r="Q36" s="19">
        <f t="shared" si="24"/>
        <v>2205.1</v>
      </c>
      <c r="R36" s="19">
        <f t="shared" si="24"/>
        <v>472.3</v>
      </c>
      <c r="S36" s="19">
        <f t="shared" si="24"/>
        <v>1495.6</v>
      </c>
      <c r="T36" s="19">
        <f t="shared" si="24"/>
        <v>1637.7</v>
      </c>
      <c r="U36" s="19">
        <f t="shared" si="24"/>
        <v>1927.8</v>
      </c>
      <c r="V36" s="19">
        <f t="shared" si="24"/>
        <v>2317.1999999999998</v>
      </c>
      <c r="W36" s="19">
        <f t="shared" si="24"/>
        <v>2407.5</v>
      </c>
      <c r="X36" s="19">
        <f t="shared" si="24"/>
        <v>2479.7999999999997</v>
      </c>
      <c r="Y36" s="19">
        <f t="shared" si="24"/>
        <v>2445.9</v>
      </c>
      <c r="Z36" s="19">
        <f t="shared" si="24"/>
        <v>2583.6999999999998</v>
      </c>
      <c r="AA36" s="19">
        <f t="shared" si="24"/>
        <v>2416.1999999999998</v>
      </c>
      <c r="AB36" s="19">
        <f t="shared" si="24"/>
        <v>2312.4</v>
      </c>
      <c r="AC36" s="19">
        <f t="shared" si="24"/>
        <v>2056.4</v>
      </c>
      <c r="AD36" s="19">
        <v>1899.9</v>
      </c>
      <c r="AE36" s="19">
        <v>1254.5</v>
      </c>
      <c r="AF36" s="19">
        <v>1502</v>
      </c>
      <c r="AG36" s="19">
        <v>972</v>
      </c>
      <c r="AH36" s="19">
        <v>1058.2</v>
      </c>
      <c r="AI36" s="19">
        <v>1233.9000000000001</v>
      </c>
      <c r="AJ36" s="19">
        <v>1285</v>
      </c>
      <c r="AK36" s="19">
        <v>1607.5</v>
      </c>
      <c r="AL36" s="19">
        <v>979.69999999999993</v>
      </c>
      <c r="AM36" s="19">
        <v>236.1</v>
      </c>
      <c r="AN36" s="19">
        <v>302.5</v>
      </c>
      <c r="AO36" s="19">
        <v>414.9</v>
      </c>
      <c r="AP36" s="19">
        <v>532.08100000000002</v>
      </c>
      <c r="AQ36" s="19">
        <v>426</v>
      </c>
      <c r="AR36" s="19">
        <v>574.6</v>
      </c>
      <c r="AS36" s="19">
        <v>423</v>
      </c>
      <c r="AT36" s="19">
        <v>549.9</v>
      </c>
      <c r="AU36" s="19">
        <v>546.4</v>
      </c>
      <c r="AV36" s="19">
        <v>511.3</v>
      </c>
      <c r="AW36" s="19">
        <v>528.9</v>
      </c>
    </row>
    <row r="37" spans="2:49" ht="21" customHeight="1" x14ac:dyDescent="0.3">
      <c r="B37" s="8" t="s">
        <v>30</v>
      </c>
      <c r="C37" s="19">
        <f t="shared" ref="C37:D37" si="25">++C27+C28+C33+C36</f>
        <v>4461.2000000000007</v>
      </c>
      <c r="D37" s="19">
        <f t="shared" si="25"/>
        <v>4415.1000000000004</v>
      </c>
      <c r="E37" s="19">
        <f t="shared" ref="E37:F37" si="26">++E27+E28+E33+E36</f>
        <v>5123.1000000000004</v>
      </c>
      <c r="F37" s="19">
        <f t="shared" si="26"/>
        <v>4484.5</v>
      </c>
      <c r="G37" s="19">
        <f t="shared" ref="G37:H37" si="27">++G27+G28+G33+G36</f>
        <v>4545.7</v>
      </c>
      <c r="H37" s="19">
        <f t="shared" si="27"/>
        <v>4357.7</v>
      </c>
      <c r="I37" s="19">
        <f t="shared" ref="I37:AC37" si="28">++I27+I28+I33+I36</f>
        <v>4439.5</v>
      </c>
      <c r="J37" s="19">
        <f t="shared" si="28"/>
        <v>4753.6000000000004</v>
      </c>
      <c r="K37" s="19">
        <f t="shared" si="28"/>
        <v>3593.8999999999996</v>
      </c>
      <c r="L37" s="19">
        <f t="shared" si="28"/>
        <v>3581.9</v>
      </c>
      <c r="M37" s="19">
        <f t="shared" si="28"/>
        <v>3342.9000000000005</v>
      </c>
      <c r="N37" s="19">
        <f t="shared" si="28"/>
        <v>2381.1</v>
      </c>
      <c r="O37" s="19">
        <f t="shared" si="28"/>
        <v>3091.3</v>
      </c>
      <c r="P37" s="19">
        <f t="shared" si="28"/>
        <v>2887.7</v>
      </c>
      <c r="Q37" s="19">
        <f t="shared" si="28"/>
        <v>2630.6</v>
      </c>
      <c r="R37" s="19">
        <f t="shared" si="28"/>
        <v>654.9</v>
      </c>
      <c r="S37" s="19">
        <f t="shared" si="28"/>
        <v>1681.1</v>
      </c>
      <c r="T37" s="19">
        <f t="shared" si="28"/>
        <v>1879.2</v>
      </c>
      <c r="U37" s="19">
        <f t="shared" si="28"/>
        <v>2078</v>
      </c>
      <c r="V37" s="19">
        <f t="shared" si="28"/>
        <v>2508.1999999999998</v>
      </c>
      <c r="W37" s="19">
        <f t="shared" si="28"/>
        <v>2622.8</v>
      </c>
      <c r="X37" s="19">
        <f t="shared" si="28"/>
        <v>2710.2</v>
      </c>
      <c r="Y37" s="19">
        <f t="shared" si="28"/>
        <v>2628.4</v>
      </c>
      <c r="Z37" s="19">
        <f t="shared" si="28"/>
        <v>2770.5</v>
      </c>
      <c r="AA37" s="19">
        <f t="shared" si="28"/>
        <v>2575</v>
      </c>
      <c r="AB37" s="19">
        <f t="shared" si="28"/>
        <v>2559.9</v>
      </c>
      <c r="AC37" s="19">
        <f t="shared" si="28"/>
        <v>2347</v>
      </c>
      <c r="AD37" s="19">
        <v>2282.6000000000004</v>
      </c>
      <c r="AE37" s="19">
        <v>1998.5</v>
      </c>
      <c r="AF37" s="19">
        <v>1845.1999999999998</v>
      </c>
      <c r="AG37" s="19">
        <v>1248.5999999999999</v>
      </c>
      <c r="AH37" s="19">
        <v>1404.3</v>
      </c>
      <c r="AI37" s="19">
        <v>1586.3000000000002</v>
      </c>
      <c r="AJ37" s="19">
        <v>1702.6</v>
      </c>
      <c r="AK37" s="19">
        <v>1923.9</v>
      </c>
      <c r="AL37" s="19">
        <v>1319.1</v>
      </c>
      <c r="AM37" s="19">
        <v>671.30000000000007</v>
      </c>
      <c r="AN37" s="19">
        <v>673.1</v>
      </c>
      <c r="AO37" s="19">
        <v>771.9</v>
      </c>
      <c r="AP37" s="19">
        <v>900.36900000000003</v>
      </c>
      <c r="AQ37" s="19">
        <v>868.7</v>
      </c>
      <c r="AR37" s="19">
        <v>941.6</v>
      </c>
      <c r="AS37" s="19">
        <v>736.2</v>
      </c>
      <c r="AT37" s="19">
        <v>894.9</v>
      </c>
      <c r="AU37" s="19">
        <v>1008.3</v>
      </c>
      <c r="AV37" s="19">
        <v>1043</v>
      </c>
      <c r="AW37" s="19">
        <v>1043</v>
      </c>
    </row>
    <row r="38" spans="2:49" ht="21" customHeight="1" x14ac:dyDescent="0.3">
      <c r="B38" s="8" t="s">
        <v>31</v>
      </c>
      <c r="C38" s="19">
        <f t="shared" ref="C38:D38" si="29">+C37+C26</f>
        <v>13399.200000000003</v>
      </c>
      <c r="D38" s="19">
        <f t="shared" si="29"/>
        <v>14993.300000000001</v>
      </c>
      <c r="E38" s="19">
        <f t="shared" ref="E38:F38" si="30">+E37+E26</f>
        <v>13180.8</v>
      </c>
      <c r="F38" s="19">
        <f t="shared" si="30"/>
        <v>12391.2</v>
      </c>
      <c r="G38" s="19">
        <f t="shared" ref="G38:H38" si="31">+G37+G26</f>
        <v>12295</v>
      </c>
      <c r="H38" s="19">
        <f t="shared" si="31"/>
        <v>12028.5</v>
      </c>
      <c r="I38" s="19">
        <f t="shared" ref="I38:AC38" si="32">+I37+I26</f>
        <v>11991.6</v>
      </c>
      <c r="J38" s="19">
        <f t="shared" si="32"/>
        <v>12089.3</v>
      </c>
      <c r="K38" s="19">
        <f t="shared" si="32"/>
        <v>10117.5</v>
      </c>
      <c r="L38" s="19">
        <f t="shared" si="32"/>
        <v>10008.4</v>
      </c>
      <c r="M38" s="19">
        <f t="shared" si="32"/>
        <v>9748.4000000000015</v>
      </c>
      <c r="N38" s="19">
        <f t="shared" si="32"/>
        <v>8759.1000000000022</v>
      </c>
      <c r="O38" s="19">
        <f t="shared" si="32"/>
        <v>9451.1</v>
      </c>
      <c r="P38" s="19">
        <f t="shared" si="32"/>
        <v>9242.7000000000007</v>
      </c>
      <c r="Q38" s="19">
        <f t="shared" si="32"/>
        <v>9005.2999999999993</v>
      </c>
      <c r="R38" s="19">
        <f t="shared" si="32"/>
        <v>7047.1</v>
      </c>
      <c r="S38" s="19">
        <f t="shared" si="32"/>
        <v>2563.1999999999998</v>
      </c>
      <c r="T38" s="19">
        <f t="shared" si="32"/>
        <v>2672</v>
      </c>
      <c r="U38" s="19">
        <f t="shared" si="32"/>
        <v>2761.8</v>
      </c>
      <c r="V38" s="19">
        <f t="shared" si="32"/>
        <v>3060.8999999999996</v>
      </c>
      <c r="W38" s="19">
        <f t="shared" si="32"/>
        <v>3103.3</v>
      </c>
      <c r="X38" s="19">
        <f t="shared" si="32"/>
        <v>3155.5</v>
      </c>
      <c r="Y38" s="19">
        <f t="shared" si="32"/>
        <v>3029.8</v>
      </c>
      <c r="Z38" s="19">
        <f t="shared" si="32"/>
        <v>3152.7</v>
      </c>
      <c r="AA38" s="19">
        <f t="shared" si="32"/>
        <v>2916.2</v>
      </c>
      <c r="AB38" s="19">
        <f t="shared" si="32"/>
        <v>3068.1</v>
      </c>
      <c r="AC38" s="19">
        <f t="shared" si="32"/>
        <v>2881.5</v>
      </c>
      <c r="AD38" s="19">
        <v>2823.7000000000003</v>
      </c>
      <c r="AE38" s="19">
        <v>2582.9</v>
      </c>
      <c r="AF38" s="19">
        <v>2481.6999999999998</v>
      </c>
      <c r="AG38" s="19">
        <v>1862.6</v>
      </c>
      <c r="AH38" s="19">
        <v>1989.3</v>
      </c>
      <c r="AI38" s="19">
        <v>2139.1000000000004</v>
      </c>
      <c r="AJ38" s="19">
        <v>2220.6</v>
      </c>
      <c r="AK38" s="19">
        <v>2463.9</v>
      </c>
      <c r="AL38" s="19">
        <v>1887.2999999999997</v>
      </c>
      <c r="AM38" s="19">
        <v>1263.8000000000002</v>
      </c>
      <c r="AN38" s="19">
        <v>1255.2</v>
      </c>
      <c r="AO38" s="19">
        <v>1332.4</v>
      </c>
      <c r="AP38" s="19">
        <v>1452.2060000000001</v>
      </c>
      <c r="AQ38" s="19">
        <v>1454.4</v>
      </c>
      <c r="AR38" s="19">
        <v>1497.6</v>
      </c>
      <c r="AS38" s="19">
        <v>1389.2</v>
      </c>
      <c r="AT38" s="19">
        <v>1539.1999999999998</v>
      </c>
      <c r="AU38" s="19">
        <v>1644</v>
      </c>
      <c r="AV38" s="19">
        <v>1689.3000000000002</v>
      </c>
      <c r="AW38" s="19">
        <v>1885.8999999999999</v>
      </c>
    </row>
    <row r="39" spans="2:49" x14ac:dyDescent="0.3">
      <c r="B39" s="3"/>
      <c r="AQ39" s="20"/>
      <c r="AR39" s="20"/>
      <c r="AS39" s="20"/>
      <c r="AT39" s="21"/>
      <c r="AU39" s="22"/>
      <c r="AV39" s="20"/>
      <c r="AW39" s="20"/>
    </row>
    <row r="40" spans="2:49" ht="18.75" x14ac:dyDescent="0.3">
      <c r="B40" s="1"/>
      <c r="AQ40" s="3"/>
      <c r="AR40" s="3"/>
      <c r="AS40" s="3"/>
      <c r="AT40" s="4"/>
      <c r="AU40" s="4"/>
      <c r="AV40" s="3"/>
      <c r="AW40" s="3"/>
    </row>
    <row r="41" spans="2:49" x14ac:dyDescent="0.3">
      <c r="AQ41" s="6"/>
      <c r="AR41" s="6"/>
      <c r="AS41" s="6"/>
      <c r="AT41" s="7"/>
      <c r="AU41" s="6"/>
      <c r="AV41" s="6"/>
      <c r="AW41" s="6"/>
    </row>
    <row r="42" spans="2:49" ht="15.75" x14ac:dyDescent="0.35">
      <c r="B42" s="8" t="s">
        <v>0</v>
      </c>
      <c r="C42" s="26" t="str">
        <f t="shared" ref="C42:D42" si="33">+C5</f>
        <v>30/9 2023</v>
      </c>
      <c r="D42" s="26" t="str">
        <f t="shared" si="33"/>
        <v>30/6 2023</v>
      </c>
      <c r="E42" s="26" t="str">
        <f t="shared" ref="E42:F42" si="34">+E5</f>
        <v>31/3 2023</v>
      </c>
      <c r="F42" s="26" t="str">
        <f t="shared" si="34"/>
        <v>31/12 2022</v>
      </c>
      <c r="G42" s="26" t="str">
        <f t="shared" ref="G42:H42" si="35">+G5</f>
        <v>30/9 2022</v>
      </c>
      <c r="H42" s="26" t="str">
        <f t="shared" si="35"/>
        <v>30/6 2022</v>
      </c>
      <c r="I42" s="26" t="str">
        <f t="shared" ref="I42:AC42" si="36">+I5</f>
        <v>31/3 2022</v>
      </c>
      <c r="J42" s="26" t="str">
        <f t="shared" si="36"/>
        <v>31/12 2021</v>
      </c>
      <c r="K42" s="26" t="str">
        <f t="shared" si="36"/>
        <v>30/9 2021</v>
      </c>
      <c r="L42" s="26" t="str">
        <f t="shared" si="36"/>
        <v>30/6 2021</v>
      </c>
      <c r="M42" s="26" t="str">
        <f t="shared" si="36"/>
        <v>31/3 2021</v>
      </c>
      <c r="N42" s="26" t="str">
        <f t="shared" si="36"/>
        <v>31/12 2020</v>
      </c>
      <c r="O42" s="26" t="str">
        <f t="shared" si="36"/>
        <v>30/9 2020</v>
      </c>
      <c r="P42" s="26" t="str">
        <f t="shared" si="36"/>
        <v>30/6 2020</v>
      </c>
      <c r="Q42" s="26" t="str">
        <f t="shared" si="36"/>
        <v>31/3 2020</v>
      </c>
      <c r="R42" s="26" t="str">
        <f t="shared" si="36"/>
        <v>31/12 2019</v>
      </c>
      <c r="S42" s="26" t="str">
        <f t="shared" si="36"/>
        <v>30/9 2019</v>
      </c>
      <c r="T42" s="26" t="str">
        <f t="shared" si="36"/>
        <v>30/6 2019</v>
      </c>
      <c r="U42" s="26" t="str">
        <f t="shared" si="36"/>
        <v>31/3 2019</v>
      </c>
      <c r="V42" s="26" t="str">
        <f t="shared" si="36"/>
        <v>31/12 2018</v>
      </c>
      <c r="W42" s="26" t="str">
        <f t="shared" si="36"/>
        <v>30/9 2018</v>
      </c>
      <c r="X42" s="26" t="str">
        <f t="shared" si="36"/>
        <v>30/6 2018</v>
      </c>
      <c r="Y42" s="26" t="str">
        <f t="shared" si="36"/>
        <v>31/3 2018</v>
      </c>
      <c r="Z42" s="26" t="str">
        <f t="shared" si="36"/>
        <v>31/12 2017</v>
      </c>
      <c r="AA42" s="26" t="str">
        <f t="shared" si="36"/>
        <v>30/9 2017</v>
      </c>
      <c r="AB42" s="26" t="str">
        <f t="shared" si="36"/>
        <v>30/6 2017</v>
      </c>
      <c r="AC42" s="26" t="str">
        <f t="shared" si="36"/>
        <v>31/3 2017</v>
      </c>
      <c r="AD42" s="26" t="s">
        <v>160</v>
      </c>
      <c r="AE42" s="26" t="s">
        <v>157</v>
      </c>
      <c r="AF42" s="26" t="s">
        <v>152</v>
      </c>
      <c r="AG42" s="26" t="s">
        <v>149</v>
      </c>
      <c r="AH42" s="26" t="s">
        <v>146</v>
      </c>
      <c r="AI42" s="26" t="s">
        <v>142</v>
      </c>
      <c r="AJ42" s="26" t="s">
        <v>135</v>
      </c>
      <c r="AK42" s="26" t="s">
        <v>131</v>
      </c>
      <c r="AL42" s="26" t="s">
        <v>123</v>
      </c>
      <c r="AM42" s="26" t="s">
        <v>120</v>
      </c>
      <c r="AN42" s="26" t="s">
        <v>117</v>
      </c>
      <c r="AO42" s="26" t="s">
        <v>111</v>
      </c>
      <c r="AP42" s="26" t="s">
        <v>1</v>
      </c>
      <c r="AQ42" s="26" t="s">
        <v>2</v>
      </c>
      <c r="AR42" s="26" t="s">
        <v>3</v>
      </c>
      <c r="AS42" s="26" t="s">
        <v>4</v>
      </c>
      <c r="AT42" s="26" t="s">
        <v>5</v>
      </c>
      <c r="AU42" s="26" t="s">
        <v>6</v>
      </c>
      <c r="AV42" s="26" t="s">
        <v>7</v>
      </c>
      <c r="AW42" s="26" t="s">
        <v>8</v>
      </c>
    </row>
    <row r="43" spans="2:49" x14ac:dyDescent="0.3">
      <c r="B43" s="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</row>
    <row r="44" spans="2:49" x14ac:dyDescent="0.3">
      <c r="B44" s="3" t="s">
        <v>32</v>
      </c>
      <c r="AQ44" s="14"/>
      <c r="AR44" s="14"/>
      <c r="AS44" s="14"/>
      <c r="AU44" s="25"/>
      <c r="AV44" s="14"/>
      <c r="AW44" s="14"/>
    </row>
    <row r="45" spans="2:49" ht="6" customHeight="1" x14ac:dyDescent="0.3">
      <c r="C45" s="18"/>
      <c r="D45" s="18"/>
      <c r="E45" s="18"/>
      <c r="F45" s="18"/>
      <c r="G45" s="18"/>
      <c r="H45" s="18"/>
      <c r="I45" s="18"/>
      <c r="J45" s="18"/>
      <c r="K45" s="18"/>
      <c r="L45" s="18"/>
      <c r="AQ45" s="14"/>
      <c r="AR45" s="14"/>
      <c r="AS45" s="14"/>
      <c r="AU45" s="25"/>
      <c r="AV45" s="14"/>
      <c r="AW45" s="14"/>
    </row>
    <row r="46" spans="2:49" x14ac:dyDescent="0.3">
      <c r="B46" s="5" t="s">
        <v>33</v>
      </c>
      <c r="C46" s="18">
        <v>779.3</v>
      </c>
      <c r="D46" s="18">
        <v>779.3</v>
      </c>
      <c r="E46" s="18">
        <v>778.7</v>
      </c>
      <c r="F46" s="18">
        <v>707.4</v>
      </c>
      <c r="G46" s="18">
        <v>706.9</v>
      </c>
      <c r="H46" s="18">
        <v>704.8</v>
      </c>
      <c r="I46" s="18">
        <v>704.7</v>
      </c>
      <c r="J46" s="18">
        <v>704.7</v>
      </c>
      <c r="K46" s="18">
        <v>640.70000000000005</v>
      </c>
      <c r="L46" s="18">
        <v>638.20000000000005</v>
      </c>
      <c r="M46" s="18">
        <v>637.4</v>
      </c>
      <c r="N46" s="18">
        <v>584.5</v>
      </c>
      <c r="O46" s="18">
        <v>584.5</v>
      </c>
      <c r="P46" s="18">
        <v>584.5</v>
      </c>
      <c r="Q46" s="18">
        <v>583</v>
      </c>
      <c r="R46" s="18">
        <v>323.89999999999998</v>
      </c>
      <c r="S46" s="18">
        <v>323.89999999999998</v>
      </c>
      <c r="T46" s="18">
        <v>323.2</v>
      </c>
      <c r="U46" s="18">
        <v>323.10000000000002</v>
      </c>
      <c r="V46" s="18">
        <v>323.10000000000002</v>
      </c>
      <c r="W46" s="14">
        <v>323.10000000000002</v>
      </c>
      <c r="X46" s="14">
        <v>323.10000000000002</v>
      </c>
      <c r="Y46" s="18">
        <v>322.5</v>
      </c>
      <c r="Z46" s="18">
        <f>322.5-0.1</f>
        <v>322.39999999999998</v>
      </c>
      <c r="AA46" s="13">
        <v>319.8</v>
      </c>
      <c r="AB46" s="13">
        <v>314.7</v>
      </c>
      <c r="AC46" s="13">
        <v>314.2</v>
      </c>
      <c r="AD46" s="13">
        <v>313.5</v>
      </c>
      <c r="AE46" s="13">
        <v>309.3</v>
      </c>
      <c r="AF46" s="13">
        <v>309.3</v>
      </c>
      <c r="AG46" s="13">
        <v>280.7</v>
      </c>
      <c r="AH46" s="18">
        <v>280.2</v>
      </c>
      <c r="AI46" s="18">
        <v>278.3</v>
      </c>
      <c r="AJ46" s="18">
        <v>278.10000000000002</v>
      </c>
      <c r="AK46" s="18">
        <v>277.3</v>
      </c>
      <c r="AL46" s="18">
        <v>276.7</v>
      </c>
      <c r="AM46" s="18">
        <v>261.10000000000002</v>
      </c>
      <c r="AN46" s="13">
        <v>261.10000000000002</v>
      </c>
      <c r="AO46" s="13">
        <v>260.89999999999998</v>
      </c>
      <c r="AP46" s="13">
        <v>260.94400000000002</v>
      </c>
      <c r="AQ46" s="14">
        <v>260.89999999999998</v>
      </c>
      <c r="AR46" s="14">
        <v>260.89999999999998</v>
      </c>
      <c r="AS46" s="14">
        <v>260.89999999999998</v>
      </c>
      <c r="AT46" s="14">
        <v>260.89999999999998</v>
      </c>
      <c r="AU46" s="14">
        <v>260.89999999999998</v>
      </c>
      <c r="AV46" s="14">
        <v>260.89999999999998</v>
      </c>
      <c r="AW46" s="14">
        <v>260.89999999999998</v>
      </c>
    </row>
    <row r="47" spans="2:49" x14ac:dyDescent="0.3">
      <c r="B47" s="5" t="s">
        <v>153</v>
      </c>
      <c r="C47" s="14">
        <v>-1.5</v>
      </c>
      <c r="D47" s="14">
        <v>-1.5</v>
      </c>
      <c r="E47" s="14">
        <v>-1.3</v>
      </c>
      <c r="F47" s="14">
        <v>-1.5</v>
      </c>
      <c r="G47" s="14">
        <v>-1.5</v>
      </c>
      <c r="H47" s="14">
        <v>-1.5</v>
      </c>
      <c r="I47" s="14">
        <v>-0.9</v>
      </c>
      <c r="J47" s="14">
        <v>-1.1000000000000001</v>
      </c>
      <c r="K47" s="14">
        <v>-1.2</v>
      </c>
      <c r="L47" s="14">
        <v>-1.2</v>
      </c>
      <c r="M47" s="14">
        <v>-1</v>
      </c>
      <c r="N47" s="14">
        <v>-1.1000000000000001</v>
      </c>
      <c r="O47" s="14">
        <v>-1.1000000000000001</v>
      </c>
      <c r="P47" s="14">
        <v>-0.6</v>
      </c>
      <c r="Q47" s="14">
        <v>-0.6</v>
      </c>
      <c r="R47" s="14">
        <v>-0.7</v>
      </c>
      <c r="S47" s="14">
        <v>-0.7</v>
      </c>
      <c r="T47" s="14">
        <v>-0.7</v>
      </c>
      <c r="U47" s="14">
        <v>-0.4</v>
      </c>
      <c r="V47" s="14">
        <v>-0.5</v>
      </c>
      <c r="W47" s="14">
        <v>-0.2</v>
      </c>
      <c r="X47" s="14">
        <v>-0.2</v>
      </c>
      <c r="Y47" s="14">
        <v>-0.2</v>
      </c>
      <c r="Z47" s="14">
        <v>-0.2</v>
      </c>
      <c r="AA47" s="14">
        <v>-0.2</v>
      </c>
      <c r="AB47" s="14">
        <v>-0.2</v>
      </c>
      <c r="AC47" s="14">
        <v>-0.1</v>
      </c>
      <c r="AD47" s="14">
        <v>-0.1</v>
      </c>
      <c r="AE47" s="14">
        <v>-0.1</v>
      </c>
      <c r="AF47" s="14">
        <v>-0.1</v>
      </c>
      <c r="AG47" s="13"/>
      <c r="AH47" s="18"/>
      <c r="AI47" s="18"/>
      <c r="AJ47" s="18"/>
      <c r="AK47" s="18"/>
      <c r="AL47" s="18"/>
      <c r="AM47" s="18"/>
      <c r="AN47" s="13"/>
      <c r="AO47" s="13"/>
      <c r="AP47" s="13"/>
      <c r="AQ47" s="14"/>
      <c r="AR47" s="14"/>
      <c r="AS47" s="14"/>
      <c r="AT47" s="14"/>
      <c r="AU47" s="14"/>
      <c r="AV47" s="14"/>
      <c r="AW47" s="14"/>
    </row>
    <row r="48" spans="2:49" x14ac:dyDescent="0.3">
      <c r="B48" s="5" t="s">
        <v>34</v>
      </c>
      <c r="C48" s="18">
        <v>8426.2999999999993</v>
      </c>
      <c r="D48" s="18">
        <v>8767</v>
      </c>
      <c r="E48" s="18">
        <v>8225.7000000000007</v>
      </c>
      <c r="F48" s="18">
        <v>6300.6</v>
      </c>
      <c r="G48" s="18">
        <v>6132</v>
      </c>
      <c r="H48" s="14">
        <v>6082.7</v>
      </c>
      <c r="I48" s="14">
        <v>6323.6</v>
      </c>
      <c r="J48" s="18">
        <v>6588.9</v>
      </c>
      <c r="K48" s="18">
        <v>5069.6000000000004</v>
      </c>
      <c r="L48" s="18">
        <v>5086.3999999999996</v>
      </c>
      <c r="M48" s="73">
        <v>5224</v>
      </c>
      <c r="N48" s="73">
        <v>4246.3999999999996</v>
      </c>
      <c r="O48" s="73">
        <v>4587.5</v>
      </c>
      <c r="P48" s="14">
        <v>4576.1000000000004</v>
      </c>
      <c r="Q48" s="14">
        <v>4444.8999999999996</v>
      </c>
      <c r="R48" s="18">
        <v>1460</v>
      </c>
      <c r="S48" s="18">
        <v>1508.1</v>
      </c>
      <c r="T48" s="18">
        <v>1595.5</v>
      </c>
      <c r="U48" s="18">
        <v>1700.4</v>
      </c>
      <c r="V48" s="18">
        <v>1797.1</v>
      </c>
      <c r="W48" s="14">
        <v>1902.4</v>
      </c>
      <c r="X48" s="14">
        <v>1870.6</v>
      </c>
      <c r="Y48" s="62">
        <v>1974.4</v>
      </c>
      <c r="Z48" s="18">
        <v>2156.9</v>
      </c>
      <c r="AA48" s="13">
        <v>2304.5</v>
      </c>
      <c r="AB48" s="13">
        <v>1778.8</v>
      </c>
      <c r="AC48" s="13">
        <v>1733.1</v>
      </c>
      <c r="AD48" s="13">
        <v>1731.9</v>
      </c>
      <c r="AE48" s="13">
        <v>1615.1</v>
      </c>
      <c r="AF48" s="13">
        <v>1518</v>
      </c>
      <c r="AG48" s="13">
        <v>940.2</v>
      </c>
      <c r="AH48" s="13">
        <v>1066.5999999999999</v>
      </c>
      <c r="AI48" s="13">
        <v>1052.0999999999999</v>
      </c>
      <c r="AJ48" s="13">
        <v>1099.5999999999999</v>
      </c>
      <c r="AK48" s="13">
        <v>1032.9000000000001</v>
      </c>
      <c r="AL48" s="13">
        <v>972.3</v>
      </c>
      <c r="AM48" s="13">
        <v>601.79999999999995</v>
      </c>
      <c r="AN48" s="13">
        <v>620.1</v>
      </c>
      <c r="AO48" s="13">
        <v>653.20000000000005</v>
      </c>
      <c r="AP48" s="13">
        <v>652.02099999999996</v>
      </c>
      <c r="AQ48" s="14">
        <v>677.6</v>
      </c>
      <c r="AR48" s="14">
        <v>657.2</v>
      </c>
      <c r="AS48" s="14">
        <v>662.5</v>
      </c>
      <c r="AT48" s="14">
        <v>683</v>
      </c>
      <c r="AU48" s="14">
        <v>745.1</v>
      </c>
      <c r="AV48" s="14">
        <v>725.3</v>
      </c>
      <c r="AW48" s="14">
        <v>893.7</v>
      </c>
    </row>
    <row r="49" spans="2:49" x14ac:dyDescent="0.3">
      <c r="B49" s="15" t="s">
        <v>35</v>
      </c>
      <c r="C49" s="58">
        <v>131.80000000000001</v>
      </c>
      <c r="D49" s="58">
        <v>141</v>
      </c>
      <c r="E49" s="58">
        <v>117.8</v>
      </c>
      <c r="F49" s="58">
        <v>143.5</v>
      </c>
      <c r="G49" s="58">
        <v>120.4</v>
      </c>
      <c r="H49" s="17">
        <v>93.1</v>
      </c>
      <c r="I49" s="17">
        <v>97.9</v>
      </c>
      <c r="J49" s="58">
        <v>82.2</v>
      </c>
      <c r="K49" s="58">
        <v>61.6</v>
      </c>
      <c r="L49" s="58">
        <v>65.2</v>
      </c>
      <c r="M49" s="58">
        <v>60.3</v>
      </c>
      <c r="N49" s="58">
        <v>64.599999999999994</v>
      </c>
      <c r="O49" s="58">
        <v>93.2</v>
      </c>
      <c r="P49" s="17">
        <v>91.1</v>
      </c>
      <c r="Q49" s="17">
        <v>83.3</v>
      </c>
      <c r="R49" s="58">
        <v>82.2</v>
      </c>
      <c r="S49" s="58">
        <v>60.8</v>
      </c>
      <c r="T49" s="58">
        <v>68.599999999999994</v>
      </c>
      <c r="U49" s="58">
        <v>64</v>
      </c>
      <c r="V49" s="58">
        <v>60.9</v>
      </c>
      <c r="W49" s="17">
        <v>53.3</v>
      </c>
      <c r="X49" s="17">
        <v>56.3</v>
      </c>
      <c r="Y49" s="17">
        <v>36.4</v>
      </c>
      <c r="Z49" s="58">
        <v>27.2</v>
      </c>
      <c r="AA49" s="58">
        <v>13.3</v>
      </c>
      <c r="AB49" s="17">
        <v>29.3</v>
      </c>
      <c r="AC49" s="17">
        <v>-7.4</v>
      </c>
      <c r="AD49" s="17">
        <v>-28.1</v>
      </c>
      <c r="AE49" s="17">
        <v>-9.6999999999999993</v>
      </c>
      <c r="AF49" s="17">
        <v>-22.7</v>
      </c>
      <c r="AG49" s="17">
        <v>-8.4</v>
      </c>
      <c r="AH49" s="17">
        <v>-4.3</v>
      </c>
      <c r="AI49" s="17">
        <v>-27.8</v>
      </c>
      <c r="AJ49" s="17">
        <v>-28.9</v>
      </c>
      <c r="AK49" s="17">
        <v>-41.3</v>
      </c>
      <c r="AL49" s="27">
        <v>3.1</v>
      </c>
      <c r="AM49" s="27">
        <v>18.600000000000001</v>
      </c>
      <c r="AN49" s="27">
        <v>43.8</v>
      </c>
      <c r="AO49" s="27">
        <v>64.599999999999994</v>
      </c>
      <c r="AP49" s="27">
        <v>63.325000000000003</v>
      </c>
      <c r="AQ49" s="17">
        <v>58.1</v>
      </c>
      <c r="AR49" s="17">
        <v>48</v>
      </c>
      <c r="AS49" s="17">
        <v>38.1</v>
      </c>
      <c r="AT49" s="17">
        <v>55.8</v>
      </c>
      <c r="AU49" s="17">
        <v>46.3</v>
      </c>
      <c r="AV49" s="17">
        <v>33.5</v>
      </c>
      <c r="AW49" s="17">
        <v>40.4</v>
      </c>
    </row>
    <row r="50" spans="2:49" ht="21" customHeight="1" x14ac:dyDescent="0.3">
      <c r="B50" s="8" t="s">
        <v>36</v>
      </c>
      <c r="C50" s="28">
        <f t="shared" ref="C50:D50" si="37">SUM(C46:C49)</f>
        <v>9335.8999999999978</v>
      </c>
      <c r="D50" s="28">
        <f t="shared" si="37"/>
        <v>9685.7999999999993</v>
      </c>
      <c r="E50" s="28">
        <f t="shared" ref="E50:F50" si="38">SUM(E46:E49)</f>
        <v>9120.9</v>
      </c>
      <c r="F50" s="28">
        <f t="shared" si="38"/>
        <v>7150</v>
      </c>
      <c r="G50" s="28">
        <f t="shared" ref="G50:H50" si="39">SUM(G46:G49)</f>
        <v>6957.7999999999993</v>
      </c>
      <c r="H50" s="28">
        <f t="shared" si="39"/>
        <v>6879.1</v>
      </c>
      <c r="I50" s="28">
        <f t="shared" ref="I50:AC50" si="40">SUM(I46:I49)</f>
        <v>7125.3</v>
      </c>
      <c r="J50" s="28">
        <f t="shared" si="40"/>
        <v>7374.7</v>
      </c>
      <c r="K50" s="28">
        <f t="shared" si="40"/>
        <v>5770.7000000000007</v>
      </c>
      <c r="L50" s="28">
        <f t="shared" si="40"/>
        <v>5788.5999999999995</v>
      </c>
      <c r="M50" s="28">
        <f t="shared" si="40"/>
        <v>5920.7</v>
      </c>
      <c r="N50" s="28">
        <f t="shared" si="40"/>
        <v>4894.3999999999996</v>
      </c>
      <c r="O50" s="28">
        <f t="shared" si="40"/>
        <v>5264.0999999999995</v>
      </c>
      <c r="P50" s="28">
        <f t="shared" si="40"/>
        <v>5251.1</v>
      </c>
      <c r="Q50" s="28">
        <f t="shared" si="40"/>
        <v>5110.5999999999995</v>
      </c>
      <c r="R50" s="28">
        <f t="shared" si="40"/>
        <v>1865.4</v>
      </c>
      <c r="S50" s="28">
        <f t="shared" si="40"/>
        <v>1892.1</v>
      </c>
      <c r="T50" s="28">
        <f t="shared" si="40"/>
        <v>1986.6</v>
      </c>
      <c r="U50" s="28">
        <f t="shared" si="40"/>
        <v>2087.1000000000004</v>
      </c>
      <c r="V50" s="28">
        <f t="shared" si="40"/>
        <v>2180.6</v>
      </c>
      <c r="W50" s="29">
        <f t="shared" si="40"/>
        <v>2278.6000000000004</v>
      </c>
      <c r="X50" s="29">
        <f t="shared" si="40"/>
        <v>2249.8000000000002</v>
      </c>
      <c r="Y50" s="28">
        <f t="shared" si="40"/>
        <v>2333.1000000000004</v>
      </c>
      <c r="Z50" s="28">
        <f t="shared" si="40"/>
        <v>2506.2999999999997</v>
      </c>
      <c r="AA50" s="28">
        <f t="shared" si="40"/>
        <v>2637.4</v>
      </c>
      <c r="AB50" s="28">
        <f t="shared" si="40"/>
        <v>2122.6000000000004</v>
      </c>
      <c r="AC50" s="28">
        <f t="shared" si="40"/>
        <v>2039.7999999999997</v>
      </c>
      <c r="AD50" s="28">
        <v>2017.2000000000003</v>
      </c>
      <c r="AE50" s="28">
        <v>1914.6</v>
      </c>
      <c r="AF50" s="28">
        <v>1804.5</v>
      </c>
      <c r="AG50" s="28">
        <v>1212.5</v>
      </c>
      <c r="AH50" s="28">
        <v>1342.5</v>
      </c>
      <c r="AI50" s="28">
        <v>1302.5999999999999</v>
      </c>
      <c r="AJ50" s="28">
        <v>1348.7999999999997</v>
      </c>
      <c r="AK50" s="28">
        <v>1268.9000000000001</v>
      </c>
      <c r="AL50" s="28">
        <v>1252.0999999999999</v>
      </c>
      <c r="AM50" s="28">
        <v>881.5</v>
      </c>
      <c r="AN50" s="28">
        <v>925</v>
      </c>
      <c r="AO50" s="28">
        <v>978.7</v>
      </c>
      <c r="AP50" s="28">
        <v>976.29</v>
      </c>
      <c r="AQ50" s="28">
        <v>996.6</v>
      </c>
      <c r="AR50" s="28">
        <v>966.1</v>
      </c>
      <c r="AS50" s="28">
        <v>961.5</v>
      </c>
      <c r="AT50" s="28">
        <v>999.69999999999993</v>
      </c>
      <c r="AU50" s="28">
        <v>1052.3</v>
      </c>
      <c r="AV50" s="28">
        <v>1019.6999999999999</v>
      </c>
      <c r="AW50" s="28">
        <v>1195</v>
      </c>
    </row>
    <row r="51" spans="2:49" ht="21" customHeight="1" x14ac:dyDescent="0.3">
      <c r="B51" s="5" t="s">
        <v>37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4">
        <v>0</v>
      </c>
      <c r="X51" s="14">
        <v>0</v>
      </c>
      <c r="Y51" s="14">
        <v>0</v>
      </c>
      <c r="Z51" s="18">
        <v>0</v>
      </c>
      <c r="AA51" s="13">
        <v>0</v>
      </c>
      <c r="AB51" s="13">
        <v>24.9</v>
      </c>
      <c r="AC51" s="13">
        <v>24.9</v>
      </c>
      <c r="AD51" s="13">
        <v>25</v>
      </c>
      <c r="AE51" s="13">
        <v>25.2</v>
      </c>
      <c r="AF51" s="13">
        <v>25.2</v>
      </c>
      <c r="AG51" s="13">
        <v>25.2</v>
      </c>
      <c r="AH51" s="13">
        <v>25.3</v>
      </c>
      <c r="AI51" s="13">
        <v>18.100000000000001</v>
      </c>
      <c r="AJ51" s="13">
        <v>18.600000000000001</v>
      </c>
      <c r="AK51" s="13">
        <v>18.600000000000001</v>
      </c>
      <c r="AL51" s="13">
        <v>18.600000000000001</v>
      </c>
      <c r="AM51" s="13">
        <v>14.8</v>
      </c>
      <c r="AN51" s="13">
        <v>14.8</v>
      </c>
      <c r="AO51" s="13">
        <v>14.8</v>
      </c>
      <c r="AP51" s="13">
        <v>14.83</v>
      </c>
      <c r="AQ51" s="14">
        <v>19.399999999999999</v>
      </c>
      <c r="AR51" s="14">
        <v>18.899999999999999</v>
      </c>
      <c r="AS51" s="14">
        <v>18.399999999999999</v>
      </c>
      <c r="AT51" s="14">
        <v>17.3</v>
      </c>
      <c r="AU51" s="14">
        <v>15.3</v>
      </c>
      <c r="AV51" s="14">
        <v>15.3</v>
      </c>
      <c r="AW51" s="14">
        <v>15.3</v>
      </c>
    </row>
    <row r="52" spans="2:49" x14ac:dyDescent="0.3">
      <c r="B52" s="5" t="s">
        <v>210</v>
      </c>
      <c r="C52" s="18">
        <v>1025.5999999999999</v>
      </c>
      <c r="D52" s="18">
        <v>1415.9</v>
      </c>
      <c r="E52" s="18">
        <v>1563.3</v>
      </c>
      <c r="F52" s="18">
        <v>2324.6999999999998</v>
      </c>
      <c r="G52" s="18">
        <v>2392.3000000000002</v>
      </c>
      <c r="H52" s="18">
        <v>2400.5</v>
      </c>
      <c r="I52" s="18">
        <v>2518.6999999999998</v>
      </c>
      <c r="J52" s="18">
        <v>2569.1</v>
      </c>
      <c r="K52" s="18">
        <v>1953.5</v>
      </c>
      <c r="L52" s="18">
        <v>1934.5</v>
      </c>
      <c r="M52" s="18">
        <v>1915.9</v>
      </c>
      <c r="N52" s="18">
        <v>2464.9</v>
      </c>
      <c r="O52" s="18">
        <v>1954.3</v>
      </c>
      <c r="P52" s="14">
        <v>2789.9</v>
      </c>
      <c r="Q52" s="18">
        <v>2715.6</v>
      </c>
      <c r="R52" s="18">
        <v>2691.4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8">
        <v>0</v>
      </c>
      <c r="AD52" s="18">
        <v>0</v>
      </c>
      <c r="AE52" s="18">
        <v>0</v>
      </c>
      <c r="AF52" s="18">
        <v>0</v>
      </c>
      <c r="AG52" s="18">
        <v>0</v>
      </c>
      <c r="AH52" s="18">
        <v>0</v>
      </c>
      <c r="AI52" s="18">
        <v>0</v>
      </c>
      <c r="AJ52" s="18">
        <v>0</v>
      </c>
      <c r="AK52" s="18">
        <v>0</v>
      </c>
      <c r="AL52" s="18">
        <v>0</v>
      </c>
      <c r="AM52" s="18">
        <v>0</v>
      </c>
      <c r="AN52" s="18">
        <v>0</v>
      </c>
      <c r="AO52" s="18">
        <v>0</v>
      </c>
      <c r="AP52" s="18">
        <v>0</v>
      </c>
      <c r="AQ52" s="18">
        <v>0</v>
      </c>
      <c r="AR52" s="18">
        <v>0</v>
      </c>
      <c r="AS52" s="18">
        <v>0</v>
      </c>
      <c r="AT52" s="18">
        <v>0</v>
      </c>
      <c r="AU52" s="18">
        <v>0</v>
      </c>
      <c r="AV52" s="18">
        <v>0</v>
      </c>
      <c r="AW52" s="18">
        <v>0</v>
      </c>
    </row>
    <row r="53" spans="2:49" x14ac:dyDescent="0.3">
      <c r="B53" s="5" t="s">
        <v>252</v>
      </c>
      <c r="C53" s="18">
        <v>0</v>
      </c>
      <c r="D53" s="18">
        <v>806.4</v>
      </c>
      <c r="E53" s="18">
        <v>646.4</v>
      </c>
      <c r="F53" s="18">
        <v>566.4</v>
      </c>
      <c r="G53" s="18">
        <v>564.6</v>
      </c>
      <c r="H53" s="18">
        <v>480.5</v>
      </c>
      <c r="I53" s="18">
        <v>240.5</v>
      </c>
      <c r="J53" s="18">
        <v>160.5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8">
        <v>0</v>
      </c>
      <c r="AD53" s="18">
        <v>0</v>
      </c>
      <c r="AE53" s="18">
        <v>0</v>
      </c>
      <c r="AF53" s="18">
        <v>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18">
        <v>0</v>
      </c>
      <c r="AO53" s="18">
        <v>0</v>
      </c>
      <c r="AP53" s="18">
        <v>0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</row>
    <row r="54" spans="2:49" x14ac:dyDescent="0.3">
      <c r="B54" s="5" t="s">
        <v>38</v>
      </c>
      <c r="C54" s="18">
        <v>15.6</v>
      </c>
      <c r="D54" s="18">
        <v>16.100000000000001</v>
      </c>
      <c r="E54" s="18">
        <v>16.600000000000001</v>
      </c>
      <c r="F54" s="18">
        <v>17</v>
      </c>
      <c r="G54" s="18">
        <v>17.3</v>
      </c>
      <c r="H54" s="18">
        <v>17.8</v>
      </c>
      <c r="I54" s="18">
        <v>18.399999999999999</v>
      </c>
      <c r="J54" s="18">
        <v>18.899999999999999</v>
      </c>
      <c r="K54" s="18">
        <v>19.399999999999999</v>
      </c>
      <c r="L54" s="18">
        <v>392.2</v>
      </c>
      <c r="M54" s="18">
        <v>392.7</v>
      </c>
      <c r="N54" s="18">
        <v>393.3</v>
      </c>
      <c r="O54" s="18">
        <v>393.8</v>
      </c>
      <c r="P54" s="14">
        <v>394.29999999999995</v>
      </c>
      <c r="Q54" s="18">
        <v>394.9</v>
      </c>
      <c r="R54" s="18">
        <v>395.4</v>
      </c>
      <c r="S54" s="18">
        <v>396</v>
      </c>
      <c r="T54" s="18">
        <v>396.5</v>
      </c>
      <c r="U54" s="18">
        <v>397.1</v>
      </c>
      <c r="V54" s="30">
        <v>397.6</v>
      </c>
      <c r="W54" s="14">
        <v>398.20000000000005</v>
      </c>
      <c r="X54" s="70">
        <v>398.7</v>
      </c>
      <c r="Y54" s="70">
        <v>399.2</v>
      </c>
      <c r="Z54" s="30">
        <v>399.8</v>
      </c>
      <c r="AA54" s="30">
        <v>28.1</v>
      </c>
      <c r="AB54" s="30">
        <v>28.7</v>
      </c>
      <c r="AC54" s="30">
        <v>29.2</v>
      </c>
      <c r="AD54" s="30">
        <v>29.7</v>
      </c>
      <c r="AE54" s="30">
        <v>30.4</v>
      </c>
      <c r="AF54" s="30">
        <v>30.3</v>
      </c>
      <c r="AG54" s="30">
        <v>30.8</v>
      </c>
      <c r="AH54" s="30">
        <v>31.3</v>
      </c>
      <c r="AI54" s="30">
        <v>31.8</v>
      </c>
      <c r="AJ54" s="30">
        <v>32.299999999999997</v>
      </c>
      <c r="AK54" s="30">
        <v>32.799999999999997</v>
      </c>
      <c r="AL54" s="30">
        <v>33.299999999999997</v>
      </c>
      <c r="AM54" s="30">
        <v>75.2</v>
      </c>
      <c r="AN54" s="30">
        <v>67.900000000000006</v>
      </c>
      <c r="AO54" s="30">
        <v>69.7</v>
      </c>
      <c r="AP54" s="30">
        <v>71.834000000000003</v>
      </c>
      <c r="AQ54" s="14">
        <v>74.5</v>
      </c>
      <c r="AR54" s="14">
        <v>76.2</v>
      </c>
      <c r="AS54" s="14">
        <v>36.6</v>
      </c>
      <c r="AT54" s="14">
        <v>36.9</v>
      </c>
      <c r="AU54" s="14">
        <v>83.6</v>
      </c>
      <c r="AV54" s="14">
        <v>87</v>
      </c>
      <c r="AW54" s="14">
        <v>86.4</v>
      </c>
    </row>
    <row r="55" spans="2:49" x14ac:dyDescent="0.3">
      <c r="B55" s="5" t="s">
        <v>274</v>
      </c>
      <c r="C55" s="18">
        <v>56.4</v>
      </c>
      <c r="D55" s="18">
        <v>55.6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8">
        <v>0</v>
      </c>
      <c r="AD55" s="18">
        <v>0</v>
      </c>
      <c r="AE55" s="18">
        <v>0</v>
      </c>
      <c r="AF55" s="18">
        <v>0</v>
      </c>
      <c r="AG55" s="18">
        <v>0</v>
      </c>
      <c r="AH55" s="18">
        <v>0</v>
      </c>
      <c r="AI55" s="18">
        <v>0</v>
      </c>
      <c r="AJ55" s="18">
        <v>0</v>
      </c>
      <c r="AK55" s="18">
        <v>0</v>
      </c>
      <c r="AL55" s="18">
        <v>0</v>
      </c>
      <c r="AM55" s="18">
        <v>0</v>
      </c>
      <c r="AN55" s="18">
        <v>0</v>
      </c>
      <c r="AO55" s="18">
        <v>0</v>
      </c>
      <c r="AP55" s="18">
        <v>0</v>
      </c>
      <c r="AQ55" s="18">
        <v>0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</row>
    <row r="56" spans="2:49" x14ac:dyDescent="0.3">
      <c r="B56" s="5" t="s">
        <v>275</v>
      </c>
      <c r="C56" s="18">
        <v>27.8</v>
      </c>
      <c r="D56" s="18">
        <v>27.4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8">
        <v>0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18">
        <v>0</v>
      </c>
      <c r="AO56" s="18">
        <v>0</v>
      </c>
      <c r="AP56" s="18">
        <v>0</v>
      </c>
      <c r="AQ56" s="18">
        <v>0</v>
      </c>
      <c r="AR56" s="18">
        <v>0</v>
      </c>
      <c r="AS56" s="18">
        <v>0</v>
      </c>
      <c r="AT56" s="18">
        <v>0</v>
      </c>
      <c r="AU56" s="18">
        <v>0</v>
      </c>
      <c r="AV56" s="18">
        <v>0</v>
      </c>
      <c r="AW56" s="18">
        <v>0</v>
      </c>
    </row>
    <row r="57" spans="2:49" x14ac:dyDescent="0.3">
      <c r="B57" s="15" t="s">
        <v>195</v>
      </c>
      <c r="C57" s="58">
        <v>50.9</v>
      </c>
      <c r="D57" s="58">
        <v>59.7</v>
      </c>
      <c r="E57" s="58">
        <v>44.4</v>
      </c>
      <c r="F57" s="58">
        <v>45.8</v>
      </c>
      <c r="G57" s="58">
        <v>49.5</v>
      </c>
      <c r="H57" s="58">
        <v>54.5</v>
      </c>
      <c r="I57" s="58">
        <v>57.4</v>
      </c>
      <c r="J57" s="58">
        <v>57.5</v>
      </c>
      <c r="K57" s="58">
        <v>61.1</v>
      </c>
      <c r="L57" s="58">
        <v>65.2</v>
      </c>
      <c r="M57" s="58">
        <v>69.5</v>
      </c>
      <c r="N57" s="58">
        <v>54.2</v>
      </c>
      <c r="O57" s="58">
        <v>60.3</v>
      </c>
      <c r="P57" s="17">
        <v>71.8</v>
      </c>
      <c r="Q57" s="27">
        <v>74.2</v>
      </c>
      <c r="R57" s="27">
        <v>47.6</v>
      </c>
      <c r="S57" s="27">
        <v>48.8</v>
      </c>
      <c r="T57" s="27">
        <v>52</v>
      </c>
      <c r="U57" s="27">
        <v>55.1</v>
      </c>
      <c r="V57" s="27">
        <v>0</v>
      </c>
      <c r="W57" s="27">
        <v>0</v>
      </c>
      <c r="X57" s="27">
        <v>0</v>
      </c>
      <c r="Y57" s="27">
        <v>0</v>
      </c>
      <c r="Z57" s="27">
        <v>0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27">
        <v>0</v>
      </c>
      <c r="AJ57" s="27">
        <v>0</v>
      </c>
      <c r="AK57" s="27">
        <v>0</v>
      </c>
      <c r="AL57" s="27">
        <v>0</v>
      </c>
      <c r="AM57" s="27">
        <v>0</v>
      </c>
      <c r="AN57" s="27">
        <v>0</v>
      </c>
      <c r="AO57" s="27">
        <v>0</v>
      </c>
      <c r="AP57" s="27">
        <v>0</v>
      </c>
      <c r="AQ57" s="27">
        <v>0</v>
      </c>
      <c r="AR57" s="27">
        <v>0</v>
      </c>
      <c r="AS57" s="27">
        <v>0</v>
      </c>
      <c r="AT57" s="27">
        <v>0</v>
      </c>
      <c r="AU57" s="27">
        <v>0</v>
      </c>
      <c r="AV57" s="27">
        <v>0</v>
      </c>
      <c r="AW57" s="27">
        <v>0</v>
      </c>
    </row>
    <row r="58" spans="2:49" ht="21" customHeight="1" x14ac:dyDescent="0.3">
      <c r="B58" s="8" t="s">
        <v>39</v>
      </c>
      <c r="C58" s="29">
        <f t="shared" ref="C58" si="41">SUM(C51:C57)</f>
        <v>1176.3</v>
      </c>
      <c r="D58" s="29">
        <f t="shared" ref="D58:E58" si="42">SUM(D51:D57)</f>
        <v>2381.1</v>
      </c>
      <c r="E58" s="29">
        <f t="shared" si="42"/>
        <v>2270.6999999999998</v>
      </c>
      <c r="F58" s="29">
        <f t="shared" ref="F58:L58" si="43">SUM(F51:F57)</f>
        <v>2953.9</v>
      </c>
      <c r="G58" s="29">
        <f t="shared" si="43"/>
        <v>3023.7000000000003</v>
      </c>
      <c r="H58" s="29">
        <f t="shared" si="43"/>
        <v>2953.3</v>
      </c>
      <c r="I58" s="29">
        <f t="shared" si="43"/>
        <v>2835</v>
      </c>
      <c r="J58" s="29">
        <f t="shared" si="43"/>
        <v>2806</v>
      </c>
      <c r="K58" s="29">
        <f t="shared" si="43"/>
        <v>2034</v>
      </c>
      <c r="L58" s="29">
        <f t="shared" si="43"/>
        <v>2391.8999999999996</v>
      </c>
      <c r="M58" s="29">
        <f>SUM(M52:M57)</f>
        <v>2378.1</v>
      </c>
      <c r="N58" s="29">
        <f t="shared" ref="N58:AC58" si="44">SUM(N51:N57)</f>
        <v>2912.4</v>
      </c>
      <c r="O58" s="29">
        <f t="shared" si="44"/>
        <v>2408.4</v>
      </c>
      <c r="P58" s="29">
        <f t="shared" si="44"/>
        <v>3256</v>
      </c>
      <c r="Q58" s="29">
        <f t="shared" si="44"/>
        <v>3184.7</v>
      </c>
      <c r="R58" s="29">
        <f t="shared" si="44"/>
        <v>3134.4</v>
      </c>
      <c r="S58" s="29">
        <f t="shared" si="44"/>
        <v>444.8</v>
      </c>
      <c r="T58" s="29">
        <f t="shared" si="44"/>
        <v>448.5</v>
      </c>
      <c r="U58" s="29">
        <f t="shared" si="44"/>
        <v>452.20000000000005</v>
      </c>
      <c r="V58" s="29">
        <f t="shared" si="44"/>
        <v>397.6</v>
      </c>
      <c r="W58" s="29">
        <f t="shared" si="44"/>
        <v>398.20000000000005</v>
      </c>
      <c r="X58" s="29">
        <f t="shared" si="44"/>
        <v>398.7</v>
      </c>
      <c r="Y58" s="29">
        <f t="shared" si="44"/>
        <v>399.2</v>
      </c>
      <c r="Z58" s="29">
        <f t="shared" si="44"/>
        <v>399.8</v>
      </c>
      <c r="AA58" s="29">
        <f t="shared" si="44"/>
        <v>28.1</v>
      </c>
      <c r="AB58" s="29">
        <f t="shared" si="44"/>
        <v>53.599999999999994</v>
      </c>
      <c r="AC58" s="29">
        <f t="shared" si="44"/>
        <v>54.099999999999994</v>
      </c>
      <c r="AD58" s="29">
        <v>54.7</v>
      </c>
      <c r="AE58" s="29">
        <v>55.599999999999994</v>
      </c>
      <c r="AF58" s="29">
        <v>55.5</v>
      </c>
      <c r="AG58" s="29">
        <v>56</v>
      </c>
      <c r="AH58" s="29">
        <v>56.6</v>
      </c>
      <c r="AI58" s="29">
        <v>49.900000000000006</v>
      </c>
      <c r="AJ58" s="29">
        <v>50.9</v>
      </c>
      <c r="AK58" s="29">
        <v>51.4</v>
      </c>
      <c r="AL58" s="29">
        <v>51.9</v>
      </c>
      <c r="AM58" s="29">
        <v>90</v>
      </c>
      <c r="AN58" s="29">
        <v>82.7</v>
      </c>
      <c r="AO58" s="29">
        <v>84.5</v>
      </c>
      <c r="AP58" s="29">
        <v>86.664000000000001</v>
      </c>
      <c r="AQ58" s="29">
        <v>93.9</v>
      </c>
      <c r="AR58" s="29">
        <v>95.1</v>
      </c>
      <c r="AS58" s="29">
        <v>55</v>
      </c>
      <c r="AT58" s="29">
        <v>54.2</v>
      </c>
      <c r="AU58" s="29">
        <v>98.899999999999991</v>
      </c>
      <c r="AV58" s="29">
        <v>102.3</v>
      </c>
      <c r="AW58" s="29">
        <v>101.7</v>
      </c>
    </row>
    <row r="59" spans="2:49" ht="21" customHeight="1" x14ac:dyDescent="0.3">
      <c r="B59" s="5" t="s">
        <v>210</v>
      </c>
      <c r="C59" s="18">
        <v>1651</v>
      </c>
      <c r="D59" s="18">
        <v>1737.9</v>
      </c>
      <c r="E59" s="18">
        <v>1077.7</v>
      </c>
      <c r="F59" s="18">
        <v>287.39999999999998</v>
      </c>
      <c r="G59" s="18">
        <v>761.6</v>
      </c>
      <c r="H59" s="18">
        <v>762.9</v>
      </c>
      <c r="I59" s="18">
        <v>649.5</v>
      </c>
      <c r="J59" s="18">
        <v>577.70000000000005</v>
      </c>
      <c r="K59" s="18">
        <v>957.3</v>
      </c>
      <c r="L59" s="18">
        <v>947.9</v>
      </c>
      <c r="M59" s="18">
        <v>933.2</v>
      </c>
      <c r="N59" s="18">
        <v>357.7</v>
      </c>
      <c r="O59" s="18">
        <v>1229.3</v>
      </c>
      <c r="P59" s="18">
        <v>367.2</v>
      </c>
      <c r="Q59" s="18">
        <v>435.1</v>
      </c>
      <c r="R59" s="18">
        <v>459.7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  <c r="Z59" s="18">
        <v>0</v>
      </c>
      <c r="AA59" s="18">
        <v>0</v>
      </c>
      <c r="AB59" s="18">
        <v>0</v>
      </c>
      <c r="AC59" s="18">
        <v>0</v>
      </c>
      <c r="AD59" s="18">
        <v>0</v>
      </c>
      <c r="AE59" s="18">
        <v>0</v>
      </c>
      <c r="AF59" s="18">
        <v>0</v>
      </c>
      <c r="AG59" s="18">
        <v>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18">
        <v>0</v>
      </c>
      <c r="AO59" s="18">
        <v>0</v>
      </c>
      <c r="AP59" s="18">
        <v>0</v>
      </c>
      <c r="AQ59" s="18">
        <v>0</v>
      </c>
      <c r="AR59" s="18">
        <v>0</v>
      </c>
      <c r="AS59" s="18">
        <v>0</v>
      </c>
      <c r="AT59" s="18">
        <v>0</v>
      </c>
      <c r="AU59" s="18">
        <v>0</v>
      </c>
      <c r="AV59" s="18">
        <v>0</v>
      </c>
      <c r="AW59" s="18">
        <v>0</v>
      </c>
    </row>
    <row r="60" spans="2:49" x14ac:dyDescent="0.3">
      <c r="B60" s="5" t="s">
        <v>38</v>
      </c>
      <c r="C60" s="18">
        <v>1.9</v>
      </c>
      <c r="D60" s="18">
        <v>1.9</v>
      </c>
      <c r="E60" s="18">
        <v>1.9</v>
      </c>
      <c r="F60" s="18">
        <v>1105.5999999999999</v>
      </c>
      <c r="G60" s="18">
        <v>874.4</v>
      </c>
      <c r="H60" s="18">
        <v>874.4</v>
      </c>
      <c r="I60" s="18">
        <v>874.4</v>
      </c>
      <c r="J60" s="18">
        <v>874.4</v>
      </c>
      <c r="K60" s="18">
        <v>830.8</v>
      </c>
      <c r="L60" s="18">
        <v>308.89999999999998</v>
      </c>
      <c r="M60" s="18">
        <v>2.2000000000000002</v>
      </c>
      <c r="N60" s="18">
        <v>2.2000000000000002</v>
      </c>
      <c r="O60" s="18">
        <v>2.2000000000000002</v>
      </c>
      <c r="P60" s="18">
        <v>2.2000000000000002</v>
      </c>
      <c r="Q60" s="18">
        <v>2.2000000000000002</v>
      </c>
      <c r="R60" s="18">
        <v>1375.1</v>
      </c>
      <c r="S60" s="18">
        <v>2.1</v>
      </c>
      <c r="T60" s="18">
        <v>2.1</v>
      </c>
      <c r="U60" s="18">
        <v>2.1</v>
      </c>
      <c r="V60" s="18">
        <v>248.9</v>
      </c>
      <c r="W60" s="14">
        <v>251.2</v>
      </c>
      <c r="X60" s="14">
        <v>290.5</v>
      </c>
      <c r="Y60" s="14">
        <v>113</v>
      </c>
      <c r="Z60" s="18">
        <v>2.2000000000000002</v>
      </c>
      <c r="AA60" s="13">
        <v>2.1</v>
      </c>
      <c r="AB60" s="13">
        <v>2.1</v>
      </c>
      <c r="AC60" s="13">
        <v>2.1</v>
      </c>
      <c r="AD60" s="13">
        <v>2.1</v>
      </c>
      <c r="AE60" s="13">
        <v>2.1</v>
      </c>
      <c r="AF60" s="13">
        <v>2</v>
      </c>
      <c r="AG60" s="13">
        <v>2</v>
      </c>
      <c r="AH60" s="13">
        <v>1.9</v>
      </c>
      <c r="AI60" s="13">
        <v>2</v>
      </c>
      <c r="AJ60" s="13">
        <v>1.9</v>
      </c>
      <c r="AK60" s="13">
        <v>1.9</v>
      </c>
      <c r="AL60" s="13">
        <v>1.9</v>
      </c>
      <c r="AM60" s="13">
        <v>2.2999999999999998</v>
      </c>
      <c r="AN60" s="13">
        <v>8.5</v>
      </c>
      <c r="AO60" s="13">
        <v>8.5</v>
      </c>
      <c r="AP60" s="13">
        <v>8.4809999999999999</v>
      </c>
      <c r="AQ60" s="14">
        <v>8.8000000000000007</v>
      </c>
      <c r="AR60" s="14">
        <v>9</v>
      </c>
      <c r="AS60" s="14">
        <v>52.1</v>
      </c>
      <c r="AT60" s="14">
        <v>52.4</v>
      </c>
      <c r="AU60" s="14">
        <v>9</v>
      </c>
      <c r="AV60" s="14">
        <v>9.1999999999999993</v>
      </c>
      <c r="AW60" s="14">
        <v>8.8000000000000007</v>
      </c>
    </row>
    <row r="61" spans="2:49" x14ac:dyDescent="0.3">
      <c r="B61" s="5" t="s">
        <v>195</v>
      </c>
      <c r="C61" s="18">
        <v>37.6</v>
      </c>
      <c r="D61" s="18">
        <v>44</v>
      </c>
      <c r="E61" s="18">
        <v>23.8</v>
      </c>
      <c r="F61" s="18">
        <v>24.5</v>
      </c>
      <c r="G61" s="18">
        <v>24</v>
      </c>
      <c r="H61" s="18">
        <v>23.7</v>
      </c>
      <c r="I61" s="18">
        <v>22.9</v>
      </c>
      <c r="J61" s="18">
        <v>21.3</v>
      </c>
      <c r="K61" s="18">
        <v>21.1</v>
      </c>
      <c r="L61" s="18">
        <v>21.1</v>
      </c>
      <c r="M61" s="18">
        <v>20.9</v>
      </c>
      <c r="N61" s="18">
        <v>20.399999999999999</v>
      </c>
      <c r="O61" s="18">
        <v>20.7</v>
      </c>
      <c r="P61" s="18">
        <v>13.8</v>
      </c>
      <c r="Q61" s="18">
        <v>13.9</v>
      </c>
      <c r="R61" s="18">
        <v>13.9</v>
      </c>
      <c r="S61" s="18">
        <v>14.4</v>
      </c>
      <c r="T61" s="18">
        <v>14.3</v>
      </c>
      <c r="U61" s="18">
        <v>14.3</v>
      </c>
      <c r="V61" s="18">
        <v>0</v>
      </c>
      <c r="W61" s="18">
        <v>0</v>
      </c>
      <c r="X61" s="18">
        <v>0</v>
      </c>
      <c r="Y61" s="18">
        <v>0</v>
      </c>
      <c r="Z61" s="18">
        <v>0</v>
      </c>
      <c r="AA61" s="18">
        <v>0</v>
      </c>
      <c r="AB61" s="18">
        <v>0</v>
      </c>
      <c r="AC61" s="18">
        <v>0</v>
      </c>
      <c r="AD61" s="18">
        <v>0</v>
      </c>
      <c r="AE61" s="18">
        <v>0</v>
      </c>
      <c r="AF61" s="18">
        <v>0</v>
      </c>
      <c r="AG61" s="18">
        <v>0</v>
      </c>
      <c r="AH61" s="18">
        <v>0</v>
      </c>
      <c r="AI61" s="18">
        <v>0</v>
      </c>
      <c r="AJ61" s="18">
        <v>0</v>
      </c>
      <c r="AK61" s="18">
        <v>0</v>
      </c>
      <c r="AL61" s="18">
        <v>0</v>
      </c>
      <c r="AM61" s="18">
        <v>0</v>
      </c>
      <c r="AN61" s="18">
        <v>0</v>
      </c>
      <c r="AO61" s="18">
        <v>0</v>
      </c>
      <c r="AP61" s="18">
        <v>0</v>
      </c>
      <c r="AQ61" s="18">
        <v>0</v>
      </c>
      <c r="AR61" s="18">
        <v>0</v>
      </c>
      <c r="AS61" s="18">
        <v>0</v>
      </c>
      <c r="AT61" s="18">
        <v>0</v>
      </c>
      <c r="AU61" s="18">
        <v>0</v>
      </c>
      <c r="AV61" s="18">
        <v>0</v>
      </c>
      <c r="AW61" s="18">
        <v>0</v>
      </c>
    </row>
    <row r="62" spans="2:49" x14ac:dyDescent="0.3">
      <c r="B62" s="5" t="s">
        <v>40</v>
      </c>
      <c r="C62" s="18">
        <v>0</v>
      </c>
      <c r="D62" s="18">
        <v>0.1</v>
      </c>
      <c r="E62" s="18">
        <v>0</v>
      </c>
      <c r="F62" s="18">
        <v>0</v>
      </c>
      <c r="G62" s="18">
        <v>19.3</v>
      </c>
      <c r="H62" s="18">
        <v>118.2</v>
      </c>
      <c r="I62" s="18">
        <v>120.4</v>
      </c>
      <c r="J62" s="18">
        <v>16.899999999999999</v>
      </c>
      <c r="K62" s="18">
        <v>50.699999999999996</v>
      </c>
      <c r="L62" s="18">
        <v>51.4</v>
      </c>
      <c r="M62" s="18">
        <v>72.7</v>
      </c>
      <c r="N62" s="18">
        <v>74.400000000000006</v>
      </c>
      <c r="O62" s="18">
        <v>81.2</v>
      </c>
      <c r="P62" s="18">
        <v>26.5</v>
      </c>
      <c r="Q62" s="18">
        <v>28.1</v>
      </c>
      <c r="R62" s="18">
        <v>6.7</v>
      </c>
      <c r="S62" s="18">
        <v>8.3000000000000007</v>
      </c>
      <c r="T62" s="18">
        <v>9.6999999999999993</v>
      </c>
      <c r="U62" s="18">
        <v>14.6</v>
      </c>
      <c r="V62" s="18">
        <v>41.8</v>
      </c>
      <c r="W62" s="14">
        <v>57.2</v>
      </c>
      <c r="X62" s="14">
        <v>63.9</v>
      </c>
      <c r="Y62" s="62">
        <v>77.900000000000006</v>
      </c>
      <c r="Z62" s="18">
        <v>79.599999999999994</v>
      </c>
      <c r="AA62" s="13">
        <v>98.8</v>
      </c>
      <c r="AB62" s="13">
        <v>736.2</v>
      </c>
      <c r="AC62" s="13">
        <v>635.20000000000005</v>
      </c>
      <c r="AD62" s="13">
        <v>530.6</v>
      </c>
      <c r="AE62" s="13">
        <v>461.5</v>
      </c>
      <c r="AF62" s="13">
        <v>467</v>
      </c>
      <c r="AG62" s="13">
        <v>468.9</v>
      </c>
      <c r="AH62" s="13">
        <v>405.8</v>
      </c>
      <c r="AI62" s="13">
        <v>613.1</v>
      </c>
      <c r="AJ62" s="13">
        <v>628.29999999999995</v>
      </c>
      <c r="AK62" s="13">
        <v>870.5</v>
      </c>
      <c r="AL62" s="13">
        <v>375.2</v>
      </c>
      <c r="AM62" s="13">
        <v>91.2</v>
      </c>
      <c r="AN62" s="30">
        <v>27.6</v>
      </c>
      <c r="AO62" s="30">
        <v>72.2</v>
      </c>
      <c r="AP62" s="30">
        <v>150.42500000000001</v>
      </c>
      <c r="AQ62" s="14">
        <v>165.4</v>
      </c>
      <c r="AR62" s="14">
        <v>225.4</v>
      </c>
      <c r="AS62" s="14">
        <v>169.5</v>
      </c>
      <c r="AT62" s="14">
        <v>195.6</v>
      </c>
      <c r="AU62" s="14">
        <v>265.3</v>
      </c>
      <c r="AV62" s="14">
        <v>335</v>
      </c>
      <c r="AW62" s="14">
        <v>364.6</v>
      </c>
    </row>
    <row r="63" spans="2:49" x14ac:dyDescent="0.3">
      <c r="B63" s="5" t="s">
        <v>41</v>
      </c>
      <c r="C63" s="18">
        <v>793.7</v>
      </c>
      <c r="D63" s="18">
        <v>764.2</v>
      </c>
      <c r="E63" s="18">
        <v>444.8</v>
      </c>
      <c r="F63" s="18">
        <v>605.9</v>
      </c>
      <c r="G63" s="18">
        <v>381.9</v>
      </c>
      <c r="H63" s="18">
        <v>195.4</v>
      </c>
      <c r="I63" s="18">
        <v>204.4</v>
      </c>
      <c r="J63" s="18">
        <v>263.60000000000002</v>
      </c>
      <c r="K63" s="18">
        <v>222.8</v>
      </c>
      <c r="L63" s="18">
        <v>298.5</v>
      </c>
      <c r="M63" s="18">
        <v>273.3</v>
      </c>
      <c r="N63" s="18">
        <v>345.3</v>
      </c>
      <c r="O63" s="18">
        <v>296.2</v>
      </c>
      <c r="P63" s="18">
        <v>201.5</v>
      </c>
      <c r="Q63" s="18">
        <v>150.9</v>
      </c>
      <c r="R63" s="18">
        <v>112.1</v>
      </c>
      <c r="S63" s="18">
        <v>117</v>
      </c>
      <c r="T63" s="18">
        <v>112.1</v>
      </c>
      <c r="U63" s="18">
        <v>93.9</v>
      </c>
      <c r="V63" s="18">
        <v>94</v>
      </c>
      <c r="W63" s="14">
        <v>37</v>
      </c>
      <c r="X63" s="14">
        <v>71.5</v>
      </c>
      <c r="Y63" s="62">
        <v>36.299999999999997</v>
      </c>
      <c r="Z63" s="18">
        <v>82.9</v>
      </c>
      <c r="AA63" s="13">
        <v>36.5</v>
      </c>
      <c r="AB63" s="13">
        <v>34.299999999999997</v>
      </c>
      <c r="AC63" s="13">
        <v>42.1</v>
      </c>
      <c r="AD63" s="13">
        <v>72</v>
      </c>
      <c r="AE63" s="13">
        <v>45.9</v>
      </c>
      <c r="AF63" s="13">
        <v>56.4</v>
      </c>
      <c r="AG63" s="13">
        <v>35.4</v>
      </c>
      <c r="AH63" s="13">
        <v>69.599999999999994</v>
      </c>
      <c r="AI63" s="13">
        <v>51.5</v>
      </c>
      <c r="AJ63" s="13">
        <v>47.2</v>
      </c>
      <c r="AK63" s="13">
        <v>67.2</v>
      </c>
      <c r="AL63" s="13">
        <v>58.7</v>
      </c>
      <c r="AM63" s="13">
        <v>69.8</v>
      </c>
      <c r="AN63" s="30">
        <v>87.4</v>
      </c>
      <c r="AO63" s="30">
        <v>61.9</v>
      </c>
      <c r="AP63" s="30">
        <v>113.51</v>
      </c>
      <c r="AQ63" s="14">
        <v>88.6</v>
      </c>
      <c r="AR63" s="14">
        <v>83.6</v>
      </c>
      <c r="AS63" s="14">
        <v>41.3</v>
      </c>
      <c r="AT63" s="14">
        <v>104.2</v>
      </c>
      <c r="AU63" s="14">
        <v>82.1</v>
      </c>
      <c r="AV63" s="14">
        <v>64.099999999999994</v>
      </c>
      <c r="AW63" s="14">
        <v>72.599999999999994</v>
      </c>
    </row>
    <row r="64" spans="2:49" x14ac:dyDescent="0.3">
      <c r="B64" s="5" t="s">
        <v>42</v>
      </c>
      <c r="C64" s="18">
        <v>7.6</v>
      </c>
      <c r="D64" s="18">
        <v>7.5</v>
      </c>
      <c r="E64" s="18">
        <v>4</v>
      </c>
      <c r="F64" s="18">
        <v>6.3</v>
      </c>
      <c r="G64" s="18">
        <v>6.7</v>
      </c>
      <c r="H64" s="18">
        <v>4.5</v>
      </c>
      <c r="I64" s="18">
        <v>4</v>
      </c>
      <c r="J64" s="18">
        <v>3.7</v>
      </c>
      <c r="K64" s="18">
        <v>2.1</v>
      </c>
      <c r="L64" s="18">
        <v>1.5</v>
      </c>
      <c r="M64" s="18">
        <v>1.1000000000000001</v>
      </c>
      <c r="N64" s="18">
        <v>0.5</v>
      </c>
      <c r="O64" s="18">
        <v>0.3</v>
      </c>
      <c r="P64" s="18">
        <v>0</v>
      </c>
      <c r="Q64" s="18">
        <v>0</v>
      </c>
      <c r="R64" s="18">
        <v>0</v>
      </c>
      <c r="S64" s="18">
        <v>0.4</v>
      </c>
      <c r="T64" s="18">
        <v>1.1000000000000001</v>
      </c>
      <c r="U64" s="18">
        <v>1.1000000000000001</v>
      </c>
      <c r="V64" s="18">
        <v>1.1000000000000001</v>
      </c>
      <c r="W64" s="14">
        <v>0.9</v>
      </c>
      <c r="X64" s="14">
        <v>0.1</v>
      </c>
      <c r="Y64" s="62">
        <v>0.2</v>
      </c>
      <c r="Z64" s="18">
        <v>0.1</v>
      </c>
      <c r="AA64" s="13">
        <v>10.3</v>
      </c>
      <c r="AB64" s="13">
        <v>2.7</v>
      </c>
      <c r="AC64" s="13">
        <v>0</v>
      </c>
      <c r="AD64" s="13">
        <v>0.1</v>
      </c>
      <c r="AE64" s="13">
        <v>1.2</v>
      </c>
      <c r="AF64" s="13">
        <v>0.5</v>
      </c>
      <c r="AG64" s="13">
        <v>1.2</v>
      </c>
      <c r="AH64" s="13">
        <v>0.6</v>
      </c>
      <c r="AI64" s="13">
        <v>0</v>
      </c>
      <c r="AJ64" s="13">
        <v>0</v>
      </c>
      <c r="AK64" s="13">
        <v>0</v>
      </c>
      <c r="AL64" s="13">
        <v>0</v>
      </c>
      <c r="AM64" s="13">
        <v>0</v>
      </c>
      <c r="AN64" s="30">
        <v>0</v>
      </c>
      <c r="AO64" s="30">
        <v>0</v>
      </c>
      <c r="AP64" s="30">
        <v>0.496</v>
      </c>
      <c r="AQ64" s="14">
        <v>0.2</v>
      </c>
      <c r="AR64" s="14">
        <v>0.3</v>
      </c>
      <c r="AS64" s="14">
        <v>0.2</v>
      </c>
      <c r="AT64" s="14">
        <v>2.2000000000000002</v>
      </c>
      <c r="AU64" s="14">
        <v>1.7</v>
      </c>
      <c r="AV64" s="14">
        <v>0.1</v>
      </c>
      <c r="AW64" s="14">
        <v>0.9</v>
      </c>
    </row>
    <row r="65" spans="2:49" x14ac:dyDescent="0.3">
      <c r="B65" s="5" t="s">
        <v>37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4">
        <v>0</v>
      </c>
      <c r="X65" s="14">
        <v>0</v>
      </c>
      <c r="Y65" s="62">
        <v>0</v>
      </c>
      <c r="Z65" s="18">
        <v>0</v>
      </c>
      <c r="AA65" s="13">
        <v>0</v>
      </c>
      <c r="AB65" s="13">
        <v>0</v>
      </c>
      <c r="AC65" s="13">
        <v>0</v>
      </c>
      <c r="AD65" s="13">
        <v>0</v>
      </c>
      <c r="AE65" s="13">
        <v>0</v>
      </c>
      <c r="AF65" s="13">
        <v>0</v>
      </c>
      <c r="AG65" s="13">
        <v>0</v>
      </c>
      <c r="AH65" s="13">
        <v>0.6</v>
      </c>
      <c r="AI65" s="13">
        <v>2.5</v>
      </c>
      <c r="AJ65" s="13">
        <v>4.2</v>
      </c>
      <c r="AK65" s="13">
        <v>4.2</v>
      </c>
      <c r="AL65" s="13">
        <v>4.2</v>
      </c>
      <c r="AM65" s="13">
        <v>2</v>
      </c>
      <c r="AN65" s="30">
        <v>2.2999999999999998</v>
      </c>
      <c r="AO65" s="30">
        <v>2.2999999999999998</v>
      </c>
      <c r="AP65" s="30">
        <v>2.2730000000000001</v>
      </c>
      <c r="AQ65" s="14">
        <v>0.8</v>
      </c>
      <c r="AR65" s="14">
        <v>9.1</v>
      </c>
      <c r="AS65" s="14">
        <v>14.1</v>
      </c>
      <c r="AT65" s="14">
        <v>14.8</v>
      </c>
      <c r="AU65" s="14">
        <v>0</v>
      </c>
      <c r="AV65" s="14">
        <v>0</v>
      </c>
      <c r="AW65" s="14">
        <v>0</v>
      </c>
    </row>
    <row r="66" spans="2:49" x14ac:dyDescent="0.3">
      <c r="B66" s="15" t="s">
        <v>43</v>
      </c>
      <c r="C66" s="27">
        <v>395.2</v>
      </c>
      <c r="D66" s="27">
        <v>370.8</v>
      </c>
      <c r="E66" s="27">
        <v>237</v>
      </c>
      <c r="F66" s="27">
        <v>257.60000000000002</v>
      </c>
      <c r="G66" s="27">
        <v>245.6</v>
      </c>
      <c r="H66" s="27">
        <v>217</v>
      </c>
      <c r="I66" s="27">
        <v>155.69999999999999</v>
      </c>
      <c r="J66" s="27">
        <v>151</v>
      </c>
      <c r="K66" s="27">
        <v>228</v>
      </c>
      <c r="L66" s="27">
        <v>198.6</v>
      </c>
      <c r="M66" s="27">
        <v>146.19999999999999</v>
      </c>
      <c r="N66" s="27">
        <v>151.80000000000001</v>
      </c>
      <c r="O66" s="27">
        <v>148.70000000000002</v>
      </c>
      <c r="P66" s="27">
        <v>124.4</v>
      </c>
      <c r="Q66" s="27">
        <v>79.800000000000011</v>
      </c>
      <c r="R66" s="27">
        <v>79.8</v>
      </c>
      <c r="S66" s="27">
        <v>84.1</v>
      </c>
      <c r="T66" s="27">
        <v>97.6</v>
      </c>
      <c r="U66" s="27">
        <v>96.5</v>
      </c>
      <c r="V66" s="27">
        <v>96.9</v>
      </c>
      <c r="W66" s="63">
        <v>80.2</v>
      </c>
      <c r="X66" s="63">
        <v>81</v>
      </c>
      <c r="Y66" s="63">
        <v>70.099999999999994</v>
      </c>
      <c r="Z66" s="27">
        <v>81.8</v>
      </c>
      <c r="AA66" s="27">
        <v>103</v>
      </c>
      <c r="AB66" s="27">
        <v>116.6</v>
      </c>
      <c r="AC66" s="27">
        <v>108.2</v>
      </c>
      <c r="AD66" s="27">
        <v>147</v>
      </c>
      <c r="AE66" s="27">
        <v>102</v>
      </c>
      <c r="AF66" s="27">
        <v>95.800000000000011</v>
      </c>
      <c r="AG66" s="27">
        <v>86.6</v>
      </c>
      <c r="AH66" s="27">
        <v>111.7</v>
      </c>
      <c r="AI66" s="27">
        <v>117.5</v>
      </c>
      <c r="AJ66" s="27">
        <v>139.29999999999998</v>
      </c>
      <c r="AK66" s="27">
        <v>199.79999999999998</v>
      </c>
      <c r="AL66" s="27">
        <v>143.30000000000001</v>
      </c>
      <c r="AM66" s="27">
        <v>127</v>
      </c>
      <c r="AN66" s="27">
        <v>121.7</v>
      </c>
      <c r="AO66" s="27">
        <v>124.3</v>
      </c>
      <c r="AP66" s="27">
        <v>114.06699999999999</v>
      </c>
      <c r="AQ66" s="17">
        <v>100.1</v>
      </c>
      <c r="AR66" s="17">
        <v>109</v>
      </c>
      <c r="AS66" s="17">
        <v>95.5</v>
      </c>
      <c r="AT66" s="17">
        <v>116.1</v>
      </c>
      <c r="AU66" s="17">
        <v>134.69999999999999</v>
      </c>
      <c r="AV66" s="17">
        <v>158.9</v>
      </c>
      <c r="AW66" s="17">
        <v>142.30000000000001</v>
      </c>
    </row>
    <row r="67" spans="2:49" ht="21" customHeight="1" x14ac:dyDescent="0.3">
      <c r="B67" s="8" t="s">
        <v>44</v>
      </c>
      <c r="C67" s="29">
        <f t="shared" ref="C67:D67" si="45">SUM(C59:C66)</f>
        <v>2886.9999999999995</v>
      </c>
      <c r="D67" s="29">
        <f t="shared" si="45"/>
        <v>2926.4000000000005</v>
      </c>
      <c r="E67" s="29">
        <f t="shared" ref="E67:F67" si="46">SUM(E59:E66)</f>
        <v>1789.2</v>
      </c>
      <c r="F67" s="29">
        <f t="shared" si="46"/>
        <v>2287.3000000000002</v>
      </c>
      <c r="G67" s="29">
        <f t="shared" ref="G67:H67" si="47">SUM(G59:G66)</f>
        <v>2313.4999999999995</v>
      </c>
      <c r="H67" s="29">
        <f t="shared" si="47"/>
        <v>2196.1000000000004</v>
      </c>
      <c r="I67" s="29">
        <f t="shared" ref="I67:AW67" si="48">SUM(I59:I66)</f>
        <v>2031.3000000000004</v>
      </c>
      <c r="J67" s="29">
        <f t="shared" si="48"/>
        <v>1908.6000000000001</v>
      </c>
      <c r="K67" s="29">
        <f t="shared" si="48"/>
        <v>2312.7999999999997</v>
      </c>
      <c r="L67" s="29">
        <f t="shared" si="48"/>
        <v>1827.8999999999999</v>
      </c>
      <c r="M67" s="29">
        <f t="shared" si="48"/>
        <v>1449.6</v>
      </c>
      <c r="N67" s="29">
        <f t="shared" si="48"/>
        <v>952.3</v>
      </c>
      <c r="O67" s="29">
        <f t="shared" si="48"/>
        <v>1778.6000000000001</v>
      </c>
      <c r="P67" s="29">
        <f t="shared" si="48"/>
        <v>735.6</v>
      </c>
      <c r="Q67" s="29">
        <f t="shared" si="48"/>
        <v>710</v>
      </c>
      <c r="R67" s="29">
        <f t="shared" si="48"/>
        <v>2047.3</v>
      </c>
      <c r="S67" s="29">
        <f t="shared" si="48"/>
        <v>226.3</v>
      </c>
      <c r="T67" s="29">
        <f t="shared" si="48"/>
        <v>236.89999999999998</v>
      </c>
      <c r="U67" s="29">
        <f t="shared" si="48"/>
        <v>222.5</v>
      </c>
      <c r="V67" s="29">
        <f t="shared" si="48"/>
        <v>482.70000000000005</v>
      </c>
      <c r="W67" s="29">
        <f t="shared" si="48"/>
        <v>426.49999999999994</v>
      </c>
      <c r="X67" s="29">
        <f t="shared" si="48"/>
        <v>507</v>
      </c>
      <c r="Y67" s="29">
        <f t="shared" si="48"/>
        <v>297.5</v>
      </c>
      <c r="Z67" s="29">
        <f t="shared" si="48"/>
        <v>246.59999999999997</v>
      </c>
      <c r="AA67" s="29">
        <f t="shared" si="48"/>
        <v>250.7</v>
      </c>
      <c r="AB67" s="29">
        <f t="shared" si="48"/>
        <v>891.90000000000009</v>
      </c>
      <c r="AC67" s="29">
        <f t="shared" si="48"/>
        <v>787.60000000000014</v>
      </c>
      <c r="AD67" s="29">
        <f t="shared" si="48"/>
        <v>751.80000000000007</v>
      </c>
      <c r="AE67" s="29">
        <f t="shared" si="48"/>
        <v>612.70000000000005</v>
      </c>
      <c r="AF67" s="29">
        <f t="shared" si="48"/>
        <v>621.70000000000005</v>
      </c>
      <c r="AG67" s="29">
        <f t="shared" si="48"/>
        <v>594.09999999999991</v>
      </c>
      <c r="AH67" s="29">
        <f t="shared" si="48"/>
        <v>590.20000000000005</v>
      </c>
      <c r="AI67" s="29">
        <f t="shared" si="48"/>
        <v>786.6</v>
      </c>
      <c r="AJ67" s="29">
        <f t="shared" si="48"/>
        <v>820.9</v>
      </c>
      <c r="AK67" s="29">
        <f t="shared" si="48"/>
        <v>1143.6000000000001</v>
      </c>
      <c r="AL67" s="29">
        <f t="shared" si="48"/>
        <v>583.29999999999995</v>
      </c>
      <c r="AM67" s="29">
        <f t="shared" si="48"/>
        <v>292.3</v>
      </c>
      <c r="AN67" s="29">
        <f t="shared" si="48"/>
        <v>247.5</v>
      </c>
      <c r="AO67" s="29">
        <f t="shared" si="48"/>
        <v>269.2</v>
      </c>
      <c r="AP67" s="29">
        <f t="shared" si="48"/>
        <v>389.25200000000001</v>
      </c>
      <c r="AQ67" s="29">
        <f t="shared" si="48"/>
        <v>363.9</v>
      </c>
      <c r="AR67" s="29">
        <f t="shared" si="48"/>
        <v>436.40000000000003</v>
      </c>
      <c r="AS67" s="29">
        <f t="shared" si="48"/>
        <v>372.7</v>
      </c>
      <c r="AT67" s="29">
        <f t="shared" si="48"/>
        <v>485.29999999999995</v>
      </c>
      <c r="AU67" s="29">
        <f t="shared" si="48"/>
        <v>492.79999999999995</v>
      </c>
      <c r="AV67" s="29">
        <f t="shared" si="48"/>
        <v>567.29999999999995</v>
      </c>
      <c r="AW67" s="29">
        <f t="shared" si="48"/>
        <v>589.20000000000005</v>
      </c>
    </row>
    <row r="68" spans="2:49" ht="21" customHeight="1" x14ac:dyDescent="0.3">
      <c r="B68" s="8" t="s">
        <v>45</v>
      </c>
      <c r="C68" s="29">
        <f t="shared" ref="C68:D68" si="49">+C58+C67</f>
        <v>4063.2999999999993</v>
      </c>
      <c r="D68" s="29">
        <f t="shared" si="49"/>
        <v>5307.5</v>
      </c>
      <c r="E68" s="29">
        <f t="shared" ref="E68:F68" si="50">+E58+E67</f>
        <v>4059.8999999999996</v>
      </c>
      <c r="F68" s="29">
        <f t="shared" si="50"/>
        <v>5241.2000000000007</v>
      </c>
      <c r="G68" s="29">
        <f t="shared" ref="G68:H68" si="51">+G58+G67</f>
        <v>5337.2</v>
      </c>
      <c r="H68" s="29">
        <f t="shared" si="51"/>
        <v>5149.4000000000005</v>
      </c>
      <c r="I68" s="29">
        <f t="shared" ref="I68:AC68" si="52">+I58+I67</f>
        <v>4866.3</v>
      </c>
      <c r="J68" s="29">
        <f t="shared" si="52"/>
        <v>4714.6000000000004</v>
      </c>
      <c r="K68" s="29">
        <f t="shared" si="52"/>
        <v>4346.7999999999993</v>
      </c>
      <c r="L68" s="29">
        <f t="shared" si="52"/>
        <v>4219.7999999999993</v>
      </c>
      <c r="M68" s="29">
        <f t="shared" si="52"/>
        <v>3827.7</v>
      </c>
      <c r="N68" s="29">
        <f t="shared" si="52"/>
        <v>3864.7</v>
      </c>
      <c r="O68" s="29">
        <f t="shared" si="52"/>
        <v>4187</v>
      </c>
      <c r="P68" s="29">
        <f t="shared" si="52"/>
        <v>3991.6</v>
      </c>
      <c r="Q68" s="29">
        <f t="shared" si="52"/>
        <v>3894.7</v>
      </c>
      <c r="R68" s="29">
        <f t="shared" si="52"/>
        <v>5181.7</v>
      </c>
      <c r="S68" s="29">
        <f t="shared" si="52"/>
        <v>671.1</v>
      </c>
      <c r="T68" s="29">
        <f t="shared" si="52"/>
        <v>685.4</v>
      </c>
      <c r="U68" s="29">
        <f t="shared" si="52"/>
        <v>674.7</v>
      </c>
      <c r="V68" s="29">
        <f t="shared" si="52"/>
        <v>880.30000000000007</v>
      </c>
      <c r="W68" s="29">
        <f t="shared" si="52"/>
        <v>824.7</v>
      </c>
      <c r="X68" s="29">
        <f t="shared" si="52"/>
        <v>905.7</v>
      </c>
      <c r="Y68" s="29">
        <f t="shared" si="52"/>
        <v>696.7</v>
      </c>
      <c r="Z68" s="29">
        <f t="shared" si="52"/>
        <v>646.4</v>
      </c>
      <c r="AA68" s="29">
        <f t="shared" si="52"/>
        <v>278.8</v>
      </c>
      <c r="AB68" s="29">
        <f t="shared" si="52"/>
        <v>945.50000000000011</v>
      </c>
      <c r="AC68" s="29">
        <f t="shared" si="52"/>
        <v>841.70000000000016</v>
      </c>
      <c r="AD68" s="29">
        <v>806.50000000000011</v>
      </c>
      <c r="AE68" s="29">
        <v>668.30000000000007</v>
      </c>
      <c r="AF68" s="29">
        <v>677.2</v>
      </c>
      <c r="AG68" s="29">
        <v>650.09999999999991</v>
      </c>
      <c r="AH68" s="29">
        <v>646.80000000000007</v>
      </c>
      <c r="AI68" s="29">
        <v>836.5</v>
      </c>
      <c r="AJ68" s="29">
        <v>871.8</v>
      </c>
      <c r="AK68" s="29">
        <v>1195.0000000000002</v>
      </c>
      <c r="AL68" s="29">
        <v>635.19999999999993</v>
      </c>
      <c r="AM68" s="29">
        <v>382.3</v>
      </c>
      <c r="AN68" s="29">
        <v>330.2</v>
      </c>
      <c r="AO68" s="29">
        <v>353.7</v>
      </c>
      <c r="AP68" s="29">
        <v>475.916</v>
      </c>
      <c r="AQ68" s="29">
        <v>457.79999999999995</v>
      </c>
      <c r="AR68" s="29">
        <v>531.5</v>
      </c>
      <c r="AS68" s="29">
        <v>427.7</v>
      </c>
      <c r="AT68" s="29">
        <v>539.5</v>
      </c>
      <c r="AU68" s="29">
        <v>591.69999999999993</v>
      </c>
      <c r="AV68" s="29">
        <v>669.59999999999991</v>
      </c>
      <c r="AW68" s="29">
        <v>690.90000000000009</v>
      </c>
    </row>
    <row r="69" spans="2:49" ht="21" customHeight="1" x14ac:dyDescent="0.3">
      <c r="B69" s="8" t="s">
        <v>46</v>
      </c>
      <c r="C69" s="29">
        <f t="shared" ref="C69:D69" si="53">+C68+C50</f>
        <v>13399.199999999997</v>
      </c>
      <c r="D69" s="29">
        <f t="shared" si="53"/>
        <v>14993.3</v>
      </c>
      <c r="E69" s="29">
        <f t="shared" ref="E69:F69" si="54">+E68+E50</f>
        <v>13180.8</v>
      </c>
      <c r="F69" s="29">
        <f t="shared" si="54"/>
        <v>12391.2</v>
      </c>
      <c r="G69" s="29">
        <f t="shared" ref="G69:H69" si="55">+G68+G50</f>
        <v>12295</v>
      </c>
      <c r="H69" s="29">
        <f t="shared" si="55"/>
        <v>12028.5</v>
      </c>
      <c r="I69" s="29">
        <f t="shared" ref="I69:AC69" si="56">+I68+I50</f>
        <v>11991.6</v>
      </c>
      <c r="J69" s="29">
        <f t="shared" si="56"/>
        <v>12089.3</v>
      </c>
      <c r="K69" s="29">
        <f t="shared" si="56"/>
        <v>10117.5</v>
      </c>
      <c r="L69" s="29">
        <f t="shared" si="56"/>
        <v>10008.399999999998</v>
      </c>
      <c r="M69" s="29">
        <f t="shared" si="56"/>
        <v>9748.4</v>
      </c>
      <c r="N69" s="29">
        <f t="shared" si="56"/>
        <v>8759.0999999999985</v>
      </c>
      <c r="O69" s="29">
        <f t="shared" si="56"/>
        <v>9451.0999999999985</v>
      </c>
      <c r="P69" s="29">
        <f t="shared" si="56"/>
        <v>9242.7000000000007</v>
      </c>
      <c r="Q69" s="29">
        <f t="shared" si="56"/>
        <v>9005.2999999999993</v>
      </c>
      <c r="R69" s="29">
        <f t="shared" si="56"/>
        <v>7047.1</v>
      </c>
      <c r="S69" s="29">
        <f t="shared" si="56"/>
        <v>2563.1999999999998</v>
      </c>
      <c r="T69" s="29">
        <f t="shared" si="56"/>
        <v>2672</v>
      </c>
      <c r="U69" s="29">
        <f t="shared" si="56"/>
        <v>2761.8</v>
      </c>
      <c r="V69" s="29">
        <f t="shared" si="56"/>
        <v>3060.9</v>
      </c>
      <c r="W69" s="29">
        <f t="shared" si="56"/>
        <v>3103.3</v>
      </c>
      <c r="X69" s="29">
        <f t="shared" si="56"/>
        <v>3155.5</v>
      </c>
      <c r="Y69" s="29">
        <f t="shared" si="56"/>
        <v>3029.8</v>
      </c>
      <c r="Z69" s="29">
        <f t="shared" si="56"/>
        <v>3152.7</v>
      </c>
      <c r="AA69" s="29">
        <f t="shared" si="56"/>
        <v>2916.2000000000003</v>
      </c>
      <c r="AB69" s="29">
        <f t="shared" si="56"/>
        <v>3068.1000000000004</v>
      </c>
      <c r="AC69" s="29">
        <f t="shared" si="56"/>
        <v>2881.5</v>
      </c>
      <c r="AD69" s="29">
        <v>2823.7000000000003</v>
      </c>
      <c r="AE69" s="29">
        <v>2582.9</v>
      </c>
      <c r="AF69" s="29">
        <v>2481.6999999999998</v>
      </c>
      <c r="AG69" s="29">
        <v>1862.6</v>
      </c>
      <c r="AH69" s="29">
        <v>1989.3000000000002</v>
      </c>
      <c r="AI69" s="29">
        <v>2139.1</v>
      </c>
      <c r="AJ69" s="29">
        <v>2220.5999999999995</v>
      </c>
      <c r="AK69" s="29">
        <v>2463.9000000000005</v>
      </c>
      <c r="AL69" s="29">
        <v>1887.2999999999997</v>
      </c>
      <c r="AM69" s="29">
        <v>1263.8</v>
      </c>
      <c r="AN69" s="29">
        <v>1255.2</v>
      </c>
      <c r="AO69" s="29">
        <v>1332.4</v>
      </c>
      <c r="AP69" s="29">
        <v>1452.2059999999999</v>
      </c>
      <c r="AQ69" s="29">
        <v>1454.4</v>
      </c>
      <c r="AR69" s="29">
        <v>1497.6</v>
      </c>
      <c r="AS69" s="29">
        <v>1389.2</v>
      </c>
      <c r="AT69" s="29">
        <v>1539.1999999999998</v>
      </c>
      <c r="AU69" s="29">
        <v>1644</v>
      </c>
      <c r="AV69" s="29">
        <v>1689.2999999999997</v>
      </c>
      <c r="AW69" s="29">
        <v>1885.9</v>
      </c>
    </row>
    <row r="70" spans="2:49" x14ac:dyDescent="0.3">
      <c r="AU70" s="25"/>
    </row>
    <row r="74" spans="2:49" x14ac:dyDescent="0.3">
      <c r="AQ74" s="31"/>
      <c r="AR74" s="31"/>
      <c r="AS74" s="31"/>
      <c r="AV74" s="31"/>
      <c r="AW74" s="31"/>
    </row>
  </sheetData>
  <pageMargins left="0.35433070866141736" right="0.35433070866141736" top="0.39370078740157483" bottom="0.39370078740157483" header="0.51181102362204722" footer="0.51181102362204722"/>
  <pageSetup paperSize="9"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B1:AW52"/>
  <sheetViews>
    <sheetView topLeftCell="A17" zoomScaleNormal="100" zoomScaleSheetLayoutView="80" workbookViewId="0">
      <selection activeCell="C49" sqref="C49"/>
    </sheetView>
  </sheetViews>
  <sheetFormatPr defaultRowHeight="15" x14ac:dyDescent="0.3"/>
  <cols>
    <col min="1" max="1" width="5.7109375" style="5" customWidth="1"/>
    <col min="2" max="2" width="53.140625" style="5" bestFit="1" customWidth="1"/>
    <col min="3" max="43" width="13.28515625" style="5" customWidth="1"/>
    <col min="44" max="44" width="13.85546875" style="5" customWidth="1"/>
    <col min="45" max="46" width="13.85546875" style="25" customWidth="1"/>
    <col min="47" max="47" width="13.85546875" style="5" customWidth="1"/>
    <col min="48" max="48" width="13.85546875" style="25" customWidth="1"/>
    <col min="49" max="49" width="13.85546875" style="5" customWidth="1"/>
    <col min="50" max="16384" width="9.140625" style="5"/>
  </cols>
  <sheetData>
    <row r="1" spans="2:49" ht="18.75" x14ac:dyDescent="0.3">
      <c r="B1" s="44" t="s">
        <v>82</v>
      </c>
    </row>
    <row r="3" spans="2:49" ht="18.75" x14ac:dyDescent="0.3">
      <c r="B3" s="1" t="s">
        <v>141</v>
      </c>
    </row>
    <row r="4" spans="2:49" x14ac:dyDescent="0.3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3"/>
      <c r="AT4" s="33"/>
      <c r="AU4" s="32"/>
      <c r="AV4" s="33"/>
      <c r="AW4" s="32"/>
    </row>
    <row r="5" spans="2:49" ht="15.75" x14ac:dyDescent="0.35">
      <c r="B5" s="34" t="s">
        <v>0</v>
      </c>
      <c r="C5" s="35" t="s">
        <v>282</v>
      </c>
      <c r="D5" s="35" t="s">
        <v>276</v>
      </c>
      <c r="E5" s="35" t="s">
        <v>269</v>
      </c>
      <c r="F5" s="35" t="s">
        <v>266</v>
      </c>
      <c r="G5" s="35" t="s">
        <v>263</v>
      </c>
      <c r="H5" s="35" t="s">
        <v>260</v>
      </c>
      <c r="I5" s="35" t="s">
        <v>256</v>
      </c>
      <c r="J5" s="35" t="s">
        <v>253</v>
      </c>
      <c r="K5" s="35" t="s">
        <v>249</v>
      </c>
      <c r="L5" s="35" t="s">
        <v>245</v>
      </c>
      <c r="M5" s="35" t="s">
        <v>241</v>
      </c>
      <c r="N5" s="35" t="s">
        <v>239</v>
      </c>
      <c r="O5" s="35" t="s">
        <v>236</v>
      </c>
      <c r="P5" s="35" t="s">
        <v>229</v>
      </c>
      <c r="Q5" s="35" t="s">
        <v>223</v>
      </c>
      <c r="R5" s="35" t="s">
        <v>211</v>
      </c>
      <c r="S5" s="35" t="s">
        <v>207</v>
      </c>
      <c r="T5" s="35" t="s">
        <v>204</v>
      </c>
      <c r="U5" s="35" t="s">
        <v>196</v>
      </c>
      <c r="V5" s="35" t="s">
        <v>191</v>
      </c>
      <c r="W5" s="35" t="s">
        <v>187</v>
      </c>
      <c r="X5" s="35" t="s">
        <v>184</v>
      </c>
      <c r="Y5" s="35" t="s">
        <v>176</v>
      </c>
      <c r="Z5" s="35" t="s">
        <v>173</v>
      </c>
      <c r="AA5" s="35" t="s">
        <v>170</v>
      </c>
      <c r="AB5" s="35" t="s">
        <v>167</v>
      </c>
      <c r="AC5" s="35" t="s">
        <v>164</v>
      </c>
      <c r="AD5" s="35" t="s">
        <v>161</v>
      </c>
      <c r="AE5" s="35" t="s">
        <v>158</v>
      </c>
      <c r="AF5" s="35" t="s">
        <v>154</v>
      </c>
      <c r="AG5" s="35" t="s">
        <v>150</v>
      </c>
      <c r="AH5" s="35" t="s">
        <v>147</v>
      </c>
      <c r="AI5" s="35" t="s">
        <v>143</v>
      </c>
      <c r="AJ5" s="35" t="s">
        <v>136</v>
      </c>
      <c r="AK5" s="35" t="s">
        <v>133</v>
      </c>
      <c r="AL5" s="35" t="s">
        <v>125</v>
      </c>
      <c r="AM5" s="35" t="s">
        <v>121</v>
      </c>
      <c r="AN5" s="35" t="s">
        <v>118</v>
      </c>
      <c r="AO5" s="35" t="s">
        <v>112</v>
      </c>
      <c r="AP5" s="35" t="s">
        <v>47</v>
      </c>
      <c r="AQ5" s="35" t="s">
        <v>48</v>
      </c>
      <c r="AR5" s="35" t="s">
        <v>49</v>
      </c>
      <c r="AS5" s="35" t="s">
        <v>50</v>
      </c>
      <c r="AT5" s="35" t="s">
        <v>51</v>
      </c>
      <c r="AU5" s="35" t="s">
        <v>52</v>
      </c>
      <c r="AV5" s="35" t="s">
        <v>53</v>
      </c>
      <c r="AW5" s="35" t="s">
        <v>54</v>
      </c>
    </row>
    <row r="6" spans="2:49" ht="15" customHeight="1" x14ac:dyDescent="0.3">
      <c r="B6" s="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</row>
    <row r="7" spans="2:49" ht="15" customHeight="1" x14ac:dyDescent="0.3">
      <c r="B7" s="3" t="s">
        <v>55</v>
      </c>
      <c r="C7" s="37">
        <f>+SUM('PL 2012 - 2023'!D15:F15)</f>
        <v>589.89999999999986</v>
      </c>
      <c r="D7" s="37">
        <f>+SUM('PL 2012 - 2023'!E15:F15)</f>
        <v>915.99999999999977</v>
      </c>
      <c r="E7" s="37">
        <f>+SUM('PL 2012 - 2023'!F15:F15)</f>
        <v>369.7999999999999</v>
      </c>
      <c r="F7" s="37">
        <f>+SUM('PL 2012 - 2023'!G15:J15)</f>
        <v>-70.799999999999898</v>
      </c>
      <c r="G7" s="37">
        <f>+SUM('PL 2012 - 2023'!H15:J15)</f>
        <v>-281.7</v>
      </c>
      <c r="H7" s="37">
        <f>+SUM('PL 2012 - 2023'!I15:J15)</f>
        <v>-409.69999999999993</v>
      </c>
      <c r="I7" s="37">
        <f>+SUM('PL 2012 - 2023'!J15:J15)</f>
        <v>-192.09999999999997</v>
      </c>
      <c r="J7" s="37">
        <f>+SUM('PL 2012 - 2023'!K15:N15)</f>
        <v>-313.59999999999957</v>
      </c>
      <c r="K7" s="37">
        <f>+SUM('PL 2012 - 2023'!L15:N15)</f>
        <v>-241.70000000000005</v>
      </c>
      <c r="L7" s="37">
        <f>+SUM('PL 2012 - 2023'!M15:N15)</f>
        <v>-194.70000000000005</v>
      </c>
      <c r="M7" s="37">
        <f>+SUM('PL 2012 - 2023'!N15:N15)</f>
        <v>-88.000000000000057</v>
      </c>
      <c r="N7" s="37">
        <f>+SUM('PL 2012 - 2023'!O15:R15)</f>
        <v>379.60000000000025</v>
      </c>
      <c r="O7" s="37">
        <f>+SUM('PL 2012 - 2023'!P15:R15)</f>
        <v>733.7</v>
      </c>
      <c r="P7" s="37">
        <f>+SUM('PL 2012 - 2023'!Q15:R15)</f>
        <v>669.80000000000007</v>
      </c>
      <c r="Q7" s="37">
        <f>+SUM('PL 2012 - 2023'!R15:R15)</f>
        <v>557.6</v>
      </c>
      <c r="R7" s="37">
        <f>+SUM('PL 2012 - 2023'!S15:V15)</f>
        <v>-328.50000000000006</v>
      </c>
      <c r="S7" s="37">
        <f>+SUM('PL 2012 - 2023'!T15:V15)</f>
        <v>-297.8</v>
      </c>
      <c r="T7" s="37">
        <f>+SUM('PL 2012 - 2023'!U15:V15)</f>
        <v>-201.3</v>
      </c>
      <c r="U7" s="37">
        <f>+SUM('PL 2012 - 2023'!V15:V15)</f>
        <v>-104.30000000000003</v>
      </c>
      <c r="V7" s="37">
        <f>+SUM('PL 2012 - 2023'!W15:Z15)</f>
        <v>-354.5</v>
      </c>
      <c r="W7" s="37">
        <f>+SUM('PL 2012 - 2023'!X15:Z15)</f>
        <v>-260.90000000000003</v>
      </c>
      <c r="X7" s="37">
        <f>+SUM('PL 2012 - 2023'!Y15:Z15)</f>
        <v>-279.8</v>
      </c>
      <c r="Y7" s="37">
        <f>+SUM('PL 2012 - 2023'!Z15:Z15)</f>
        <v>-172.8</v>
      </c>
      <c r="Z7" s="37">
        <f>+SUM('PL 2012 - 2023'!AA15:AD15)</f>
        <v>353.19999999999993</v>
      </c>
      <c r="AA7" s="37">
        <f>+SUM('PL 2012 - 2023'!AB15:AD15)</f>
        <v>531.19999999999993</v>
      </c>
      <c r="AB7" s="37">
        <f>+SUM('PL 2012 - 2023'!AC15:AD15)</f>
        <v>99.200000000000045</v>
      </c>
      <c r="AC7" s="37">
        <f>+SUM('PL 2012 - 2023'!AD15:AD15)</f>
        <v>-3.0999999999999943</v>
      </c>
      <c r="AD7" s="37">
        <v>33.000000000000057</v>
      </c>
      <c r="AE7" s="37">
        <v>-81.899999999999963</v>
      </c>
      <c r="AF7" s="37">
        <v>-206.7</v>
      </c>
      <c r="AG7" s="37">
        <v>-152.69999999999999</v>
      </c>
      <c r="AH7" s="37">
        <v>1.6</v>
      </c>
      <c r="AI7" s="37">
        <v>2.2000000000000002</v>
      </c>
      <c r="AJ7" s="37">
        <v>84.8</v>
      </c>
      <c r="AK7" s="37">
        <v>-40.200000000000003</v>
      </c>
      <c r="AL7" s="37">
        <v>16.7</v>
      </c>
      <c r="AM7" s="37">
        <v>-121.3</v>
      </c>
      <c r="AN7" s="37">
        <v>-69.7</v>
      </c>
      <c r="AO7" s="37">
        <v>3.4</v>
      </c>
      <c r="AP7" s="37">
        <v>33.414999999999999</v>
      </c>
      <c r="AQ7" s="37">
        <v>-6</v>
      </c>
      <c r="AR7" s="37">
        <v>-37.6</v>
      </c>
      <c r="AS7" s="37">
        <v>-47.6</v>
      </c>
      <c r="AT7" s="37">
        <v>-31.699999999999932</v>
      </c>
      <c r="AU7" s="37">
        <v>23.199999999999932</v>
      </c>
      <c r="AV7" s="37">
        <v>-10.80000000000004</v>
      </c>
      <c r="AW7" s="37">
        <v>-29.799999999999983</v>
      </c>
    </row>
    <row r="8" spans="2:49" ht="21" customHeight="1" x14ac:dyDescent="0.3">
      <c r="B8" s="5" t="s">
        <v>56</v>
      </c>
      <c r="C8" s="33">
        <v>961.6</v>
      </c>
      <c r="D8" s="33">
        <v>251.6</v>
      </c>
      <c r="E8" s="33">
        <v>111.7</v>
      </c>
      <c r="F8" s="33">
        <v>399.2</v>
      </c>
      <c r="G8" s="33">
        <v>296.10000000000002</v>
      </c>
      <c r="H8" s="33">
        <v>197.7</v>
      </c>
      <c r="I8" s="33">
        <v>98.4</v>
      </c>
      <c r="J8" s="33">
        <v>388.3</v>
      </c>
      <c r="K8" s="33">
        <v>285.2</v>
      </c>
      <c r="L8" s="33">
        <v>186.7</v>
      </c>
      <c r="M8" s="33">
        <v>89.3</v>
      </c>
      <c r="N8" s="33">
        <v>360.1</v>
      </c>
      <c r="O8" s="33">
        <v>267.5</v>
      </c>
      <c r="P8" s="33">
        <v>168.8</v>
      </c>
      <c r="Q8" s="33">
        <v>15.4</v>
      </c>
      <c r="R8" s="33">
        <v>57.1</v>
      </c>
      <c r="S8" s="33">
        <v>42.9</v>
      </c>
      <c r="T8" s="33">
        <v>28.7</v>
      </c>
      <c r="U8" s="33">
        <v>14.5</v>
      </c>
      <c r="V8" s="33">
        <v>41.6</v>
      </c>
      <c r="W8" s="33">
        <v>29.9</v>
      </c>
      <c r="X8" s="33">
        <v>19.899999999999999</v>
      </c>
      <c r="Y8" s="33">
        <v>9.8000000000000007</v>
      </c>
      <c r="Z8" s="33">
        <v>37.5</v>
      </c>
      <c r="AA8" s="33">
        <v>28.6</v>
      </c>
      <c r="AB8" s="33">
        <v>19.8</v>
      </c>
      <c r="AC8" s="33">
        <v>11.4</v>
      </c>
      <c r="AD8" s="33">
        <v>45.4</v>
      </c>
      <c r="AE8" s="33">
        <v>32.799999999999997</v>
      </c>
      <c r="AF8" s="33">
        <v>21.7</v>
      </c>
      <c r="AG8" s="33">
        <v>10.8</v>
      </c>
      <c r="AH8" s="33">
        <v>43.5</v>
      </c>
      <c r="AI8" s="33">
        <v>32.700000000000003</v>
      </c>
      <c r="AJ8" s="33">
        <v>21.8</v>
      </c>
      <c r="AK8" s="33">
        <v>10.9</v>
      </c>
      <c r="AL8" s="33">
        <v>45</v>
      </c>
      <c r="AM8" s="33">
        <v>33.299999999999997</v>
      </c>
      <c r="AN8" s="33">
        <v>22.3</v>
      </c>
      <c r="AO8" s="33">
        <v>11.1</v>
      </c>
      <c r="AP8" s="33">
        <v>46.219000000000001</v>
      </c>
      <c r="AQ8" s="33">
        <v>36</v>
      </c>
      <c r="AR8" s="33">
        <v>23.1</v>
      </c>
      <c r="AS8" s="33">
        <v>11.2</v>
      </c>
      <c r="AT8" s="33">
        <v>56.5</v>
      </c>
      <c r="AU8" s="33">
        <v>36.6</v>
      </c>
      <c r="AV8" s="33">
        <v>25.3</v>
      </c>
      <c r="AW8" s="33">
        <v>14.1</v>
      </c>
    </row>
    <row r="9" spans="2:49" ht="15" customHeight="1" x14ac:dyDescent="0.3">
      <c r="B9" s="38" t="s">
        <v>200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69.5</v>
      </c>
      <c r="AA9" s="33">
        <v>66.8</v>
      </c>
      <c r="AB9" s="33">
        <v>43.3</v>
      </c>
      <c r="AC9" s="33">
        <v>15.1</v>
      </c>
      <c r="AD9" s="33">
        <v>68.7</v>
      </c>
      <c r="AE9" s="33">
        <v>38.299999999999997</v>
      </c>
      <c r="AF9" s="33">
        <v>0.2</v>
      </c>
      <c r="AG9" s="33">
        <v>0.2</v>
      </c>
      <c r="AH9" s="33">
        <v>2.7</v>
      </c>
      <c r="AI9" s="33">
        <v>2.7</v>
      </c>
      <c r="AJ9" s="33">
        <v>2.7</v>
      </c>
      <c r="AK9" s="33">
        <v>2.5</v>
      </c>
      <c r="AL9" s="33">
        <v>45.5</v>
      </c>
      <c r="AM9" s="33">
        <v>25.4</v>
      </c>
      <c r="AN9" s="33">
        <v>17.600000000000001</v>
      </c>
      <c r="AO9" s="33">
        <v>11.7</v>
      </c>
      <c r="AP9" s="33">
        <v>148.04499999999999</v>
      </c>
      <c r="AQ9" s="33">
        <v>134.19999999999999</v>
      </c>
      <c r="AR9" s="33">
        <v>118.3</v>
      </c>
      <c r="AS9" s="33"/>
      <c r="AT9" s="33">
        <v>0</v>
      </c>
      <c r="AU9" s="33">
        <v>0</v>
      </c>
      <c r="AV9" s="33">
        <v>0</v>
      </c>
      <c r="AW9" s="33"/>
    </row>
    <row r="10" spans="2:49" x14ac:dyDescent="0.3">
      <c r="B10" s="5" t="s">
        <v>57</v>
      </c>
      <c r="C10" s="33">
        <v>41.4</v>
      </c>
      <c r="D10" s="33">
        <v>31.6</v>
      </c>
      <c r="E10" s="33">
        <v>16.600000000000001</v>
      </c>
      <c r="F10" s="33">
        <v>49.3</v>
      </c>
      <c r="G10" s="33">
        <v>33.4</v>
      </c>
      <c r="H10" s="33">
        <v>25.5</v>
      </c>
      <c r="I10" s="33">
        <v>6.6</v>
      </c>
      <c r="J10" s="33">
        <v>56.9</v>
      </c>
      <c r="K10" s="33">
        <v>55.4</v>
      </c>
      <c r="L10" s="33">
        <v>34.4</v>
      </c>
      <c r="M10" s="33">
        <v>26.2</v>
      </c>
      <c r="N10" s="33">
        <v>33</v>
      </c>
      <c r="O10" s="33">
        <v>24.3</v>
      </c>
      <c r="P10" s="33">
        <v>16.899999999999999</v>
      </c>
      <c r="Q10" s="33">
        <v>6.4</v>
      </c>
      <c r="R10" s="33">
        <v>26.4</v>
      </c>
      <c r="S10" s="33">
        <v>20.3</v>
      </c>
      <c r="T10" s="33">
        <v>14.7</v>
      </c>
      <c r="U10" s="33">
        <v>10</v>
      </c>
      <c r="V10" s="33">
        <v>33.9</v>
      </c>
      <c r="W10" s="33">
        <v>26.2</v>
      </c>
      <c r="X10" s="33">
        <v>18.600000000000001</v>
      </c>
      <c r="Y10" s="33">
        <v>8.8000000000000007</v>
      </c>
      <c r="Z10" s="33">
        <v>26.8</v>
      </c>
      <c r="AA10" s="33">
        <v>25.9</v>
      </c>
      <c r="AB10" s="33">
        <v>29.2</v>
      </c>
      <c r="AC10" s="33">
        <v>16.5</v>
      </c>
      <c r="AD10" s="33">
        <v>18.2</v>
      </c>
      <c r="AE10" s="33">
        <v>12.299999999999999</v>
      </c>
      <c r="AF10" s="33">
        <v>3.3</v>
      </c>
      <c r="AG10" s="33">
        <v>-3.3</v>
      </c>
      <c r="AH10" s="33">
        <v>26.7</v>
      </c>
      <c r="AI10" s="33">
        <v>15.7</v>
      </c>
      <c r="AJ10" s="33">
        <v>15.7</v>
      </c>
      <c r="AK10" s="33">
        <v>12</v>
      </c>
      <c r="AL10" s="33">
        <v>21.3</v>
      </c>
      <c r="AM10" s="33">
        <v>9.1</v>
      </c>
      <c r="AN10" s="33">
        <v>7</v>
      </c>
      <c r="AO10" s="33">
        <v>1.3</v>
      </c>
      <c r="AP10" s="33">
        <v>12.343</v>
      </c>
      <c r="AQ10" s="33">
        <v>9.9</v>
      </c>
      <c r="AR10" s="33">
        <v>7.4</v>
      </c>
      <c r="AS10" s="33">
        <v>4.8</v>
      </c>
      <c r="AT10" s="33">
        <v>16.899999999999999</v>
      </c>
      <c r="AU10" s="33">
        <v>12.3</v>
      </c>
      <c r="AV10" s="33">
        <v>7.5</v>
      </c>
      <c r="AW10" s="33">
        <v>4</v>
      </c>
    </row>
    <row r="11" spans="2:49" x14ac:dyDescent="0.3">
      <c r="B11" s="5" t="s">
        <v>58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22.2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f>45.2+0.1</f>
        <v>45.300000000000004</v>
      </c>
      <c r="AA11" s="33">
        <v>-2.7</v>
      </c>
      <c r="AB11" s="33">
        <v>0</v>
      </c>
      <c r="AC11" s="33">
        <v>0</v>
      </c>
      <c r="AD11" s="33">
        <v>2.8</v>
      </c>
      <c r="AE11" s="33">
        <v>0</v>
      </c>
      <c r="AF11" s="33">
        <v>0</v>
      </c>
      <c r="AG11" s="33">
        <v>0</v>
      </c>
      <c r="AH11" s="33">
        <v>0</v>
      </c>
      <c r="AI11" s="33">
        <v>0</v>
      </c>
      <c r="AJ11" s="33">
        <v>0</v>
      </c>
      <c r="AK11" s="33">
        <v>0</v>
      </c>
      <c r="AL11" s="33">
        <v>0</v>
      </c>
      <c r="AM11" s="33">
        <v>0</v>
      </c>
      <c r="AN11" s="33">
        <v>-0.1</v>
      </c>
      <c r="AO11" s="33">
        <v>0</v>
      </c>
      <c r="AP11" s="33">
        <v>0.161</v>
      </c>
      <c r="AQ11" s="33">
        <v>0</v>
      </c>
      <c r="AR11" s="33">
        <v>0</v>
      </c>
      <c r="AS11" s="33">
        <v>0</v>
      </c>
      <c r="AT11" s="33">
        <v>5.3</v>
      </c>
      <c r="AU11" s="33">
        <v>6.2</v>
      </c>
      <c r="AV11" s="33">
        <v>5.6</v>
      </c>
      <c r="AW11" s="33">
        <v>0</v>
      </c>
    </row>
    <row r="12" spans="2:49" x14ac:dyDescent="0.3">
      <c r="B12" s="5" t="s">
        <v>144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47.9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33">
        <v>0</v>
      </c>
      <c r="AH12" s="33">
        <v>-41.6</v>
      </c>
      <c r="AI12" s="33">
        <v>-39.9</v>
      </c>
      <c r="AJ12" s="33">
        <v>0</v>
      </c>
      <c r="AK12" s="33">
        <v>0</v>
      </c>
      <c r="AL12" s="33">
        <v>0</v>
      </c>
      <c r="AM12" s="33">
        <v>0</v>
      </c>
      <c r="AN12" s="33">
        <v>0</v>
      </c>
      <c r="AO12" s="33">
        <v>0</v>
      </c>
      <c r="AP12" s="33">
        <v>0</v>
      </c>
      <c r="AQ12" s="33">
        <v>0</v>
      </c>
      <c r="AR12" s="33">
        <v>0</v>
      </c>
      <c r="AS12" s="33">
        <v>0</v>
      </c>
      <c r="AT12" s="33">
        <v>0</v>
      </c>
      <c r="AU12" s="33">
        <v>0</v>
      </c>
      <c r="AV12" s="33">
        <v>0</v>
      </c>
      <c r="AW12" s="33">
        <v>0</v>
      </c>
    </row>
    <row r="13" spans="2:49" x14ac:dyDescent="0.3">
      <c r="B13" s="5" t="s">
        <v>59</v>
      </c>
      <c r="C13" s="33">
        <v>-691.4</v>
      </c>
      <c r="D13" s="33">
        <v>-459.8</v>
      </c>
      <c r="E13" s="33">
        <v>-285.3</v>
      </c>
      <c r="F13" s="33">
        <v>-439</v>
      </c>
      <c r="G13" s="33">
        <v>-111.2</v>
      </c>
      <c r="H13" s="33">
        <v>-38.4</v>
      </c>
      <c r="I13" s="33">
        <v>-123.5</v>
      </c>
      <c r="J13" s="33">
        <v>41.1</v>
      </c>
      <c r="K13" s="33">
        <v>-32.1</v>
      </c>
      <c r="L13" s="33">
        <v>-146.4</v>
      </c>
      <c r="M13" s="33">
        <v>-31.7</v>
      </c>
      <c r="N13" s="33">
        <v>-420.3</v>
      </c>
      <c r="O13" s="33">
        <v>-256.7</v>
      </c>
      <c r="P13" s="33">
        <v>-53.8</v>
      </c>
      <c r="Q13" s="33">
        <v>-86</v>
      </c>
      <c r="R13" s="33">
        <v>-22.1</v>
      </c>
      <c r="S13" s="33">
        <v>0.3</v>
      </c>
      <c r="T13" s="33">
        <v>-18.5</v>
      </c>
      <c r="U13" s="33">
        <v>4.4000000000000004</v>
      </c>
      <c r="V13" s="33">
        <v>33.200000000000003</v>
      </c>
      <c r="W13" s="33">
        <v>-19.100000000000001</v>
      </c>
      <c r="X13" s="33">
        <v>-27.9</v>
      </c>
      <c r="Y13" s="33">
        <v>-1.5</v>
      </c>
      <c r="Z13" s="33">
        <v>35.1</v>
      </c>
      <c r="AA13" s="33">
        <v>50.199999999999996</v>
      </c>
      <c r="AB13" s="33">
        <v>-5.6</v>
      </c>
      <c r="AC13" s="33">
        <v>-39.799999999999997</v>
      </c>
      <c r="AD13" s="33">
        <v>-55.9</v>
      </c>
      <c r="AE13" s="33">
        <v>-62.4</v>
      </c>
      <c r="AF13" s="33">
        <v>-101.7</v>
      </c>
      <c r="AG13" s="33">
        <v>-23.7</v>
      </c>
      <c r="AH13" s="33">
        <v>30.8</v>
      </c>
      <c r="AI13" s="33">
        <v>-32.299999999999997</v>
      </c>
      <c r="AJ13" s="33">
        <v>-18.7</v>
      </c>
      <c r="AK13" s="33">
        <v>-20.5</v>
      </c>
      <c r="AL13" s="33">
        <v>111.8</v>
      </c>
      <c r="AM13" s="33">
        <v>0.9</v>
      </c>
      <c r="AN13" s="33">
        <v>-2.7</v>
      </c>
      <c r="AO13" s="33">
        <v>29</v>
      </c>
      <c r="AP13" s="33">
        <v>-4.4489999999999998</v>
      </c>
      <c r="AQ13" s="33">
        <v>11.5</v>
      </c>
      <c r="AR13" s="33">
        <v>-4</v>
      </c>
      <c r="AS13" s="33">
        <v>44.6</v>
      </c>
      <c r="AT13" s="33">
        <v>-10.3</v>
      </c>
      <c r="AU13" s="33">
        <v>-36.5</v>
      </c>
      <c r="AV13" s="33">
        <v>-43.8</v>
      </c>
      <c r="AW13" s="33">
        <v>-54.2</v>
      </c>
    </row>
    <row r="14" spans="2:49" x14ac:dyDescent="0.3">
      <c r="B14" s="5" t="s">
        <v>60</v>
      </c>
      <c r="C14" s="33">
        <v>-691.7</v>
      </c>
      <c r="D14" s="33">
        <v>-780.2</v>
      </c>
      <c r="E14" s="33">
        <v>-266.10000000000002</v>
      </c>
      <c r="F14" s="33">
        <v>-133.19999999999999</v>
      </c>
      <c r="G14" s="33">
        <v>-153.69999999999999</v>
      </c>
      <c r="H14" s="33">
        <v>-19.2</v>
      </c>
      <c r="I14" s="33">
        <v>169.1</v>
      </c>
      <c r="J14" s="33">
        <v>-364.4</v>
      </c>
      <c r="K14" s="33">
        <v>-213.9</v>
      </c>
      <c r="L14" s="33">
        <v>-209.9</v>
      </c>
      <c r="M14" s="33">
        <v>-10.4</v>
      </c>
      <c r="N14" s="33">
        <v>-88.1</v>
      </c>
      <c r="O14" s="33">
        <v>-58.4</v>
      </c>
      <c r="P14" s="33">
        <v>-246.1</v>
      </c>
      <c r="Q14" s="33">
        <v>-138.69999999999999</v>
      </c>
      <c r="R14" s="33">
        <v>15.8</v>
      </c>
      <c r="S14" s="33">
        <v>16.100000000000001</v>
      </c>
      <c r="T14" s="33">
        <v>-25</v>
      </c>
      <c r="U14" s="33">
        <v>48.5</v>
      </c>
      <c r="V14" s="33">
        <v>-40</v>
      </c>
      <c r="W14" s="33">
        <v>-9.1999999999999993</v>
      </c>
      <c r="X14" s="33">
        <v>-20.2</v>
      </c>
      <c r="Y14" s="33">
        <v>6.4</v>
      </c>
      <c r="Z14" s="33">
        <v>114.1</v>
      </c>
      <c r="AA14" s="33">
        <v>111.9</v>
      </c>
      <c r="AB14" s="33">
        <v>134.4</v>
      </c>
      <c r="AC14" s="33">
        <v>132.4</v>
      </c>
      <c r="AD14" s="33">
        <v>20.7</v>
      </c>
      <c r="AE14" s="33">
        <v>-335.6</v>
      </c>
      <c r="AF14" s="33">
        <v>108.3</v>
      </c>
      <c r="AG14" s="33">
        <v>94.7</v>
      </c>
      <c r="AH14" s="33">
        <v>28</v>
      </c>
      <c r="AI14" s="33">
        <v>49.5</v>
      </c>
      <c r="AJ14" s="33">
        <v>229.4</v>
      </c>
      <c r="AK14" s="33">
        <v>334.2</v>
      </c>
      <c r="AL14" s="33">
        <v>-78.3</v>
      </c>
      <c r="AM14" s="33">
        <v>-57.7</v>
      </c>
      <c r="AN14" s="33">
        <v>0.7</v>
      </c>
      <c r="AO14" s="33">
        <v>-14.9</v>
      </c>
      <c r="AP14" s="33">
        <v>-18.843</v>
      </c>
      <c r="AQ14" s="33">
        <v>-110.7</v>
      </c>
      <c r="AR14" s="33">
        <v>-18.2</v>
      </c>
      <c r="AS14" s="33">
        <v>-12.1</v>
      </c>
      <c r="AT14" s="33">
        <v>208.9</v>
      </c>
      <c r="AU14" s="33">
        <v>117.6</v>
      </c>
      <c r="AV14" s="33">
        <v>53.9</v>
      </c>
      <c r="AW14" s="33">
        <v>82.3</v>
      </c>
    </row>
    <row r="15" spans="2:49" x14ac:dyDescent="0.3">
      <c r="B15" s="5" t="s">
        <v>61</v>
      </c>
      <c r="C15" s="33">
        <v>0.4</v>
      </c>
      <c r="D15" s="33">
        <v>-0.4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-0.5</v>
      </c>
      <c r="AE15" s="33">
        <v>-0.6</v>
      </c>
      <c r="AF15" s="33">
        <v>-0.6</v>
      </c>
      <c r="AG15" s="33">
        <v>-0.6</v>
      </c>
      <c r="AH15" s="33">
        <v>-0.9</v>
      </c>
      <c r="AI15" s="33">
        <v>-2.1</v>
      </c>
      <c r="AJ15" s="33">
        <v>0</v>
      </c>
      <c r="AK15" s="33">
        <v>0</v>
      </c>
      <c r="AL15" s="33">
        <v>3.6</v>
      </c>
      <c r="AM15" s="33">
        <v>-0.3</v>
      </c>
      <c r="AN15" s="33">
        <v>0.1</v>
      </c>
      <c r="AO15" s="33">
        <v>0.1</v>
      </c>
      <c r="AP15" s="33">
        <v>-16.553999999999998</v>
      </c>
      <c r="AQ15" s="33">
        <v>-11.8</v>
      </c>
      <c r="AR15" s="33">
        <v>-4</v>
      </c>
      <c r="AS15" s="33">
        <v>0.5</v>
      </c>
      <c r="AT15" s="33">
        <v>16.8</v>
      </c>
      <c r="AU15" s="33">
        <v>0</v>
      </c>
      <c r="AV15" s="33">
        <v>0</v>
      </c>
      <c r="AW15" s="33">
        <v>0</v>
      </c>
    </row>
    <row r="16" spans="2:49" x14ac:dyDescent="0.3">
      <c r="B16" s="15" t="s">
        <v>62</v>
      </c>
      <c r="C16" s="39">
        <v>337.1</v>
      </c>
      <c r="D16" s="39">
        <v>292</v>
      </c>
      <c r="E16" s="39">
        <v>-146.19999999999999</v>
      </c>
      <c r="F16" s="39">
        <v>423.4</v>
      </c>
      <c r="G16" s="39">
        <v>217.7</v>
      </c>
      <c r="H16" s="39">
        <v>110.2</v>
      </c>
      <c r="I16" s="39">
        <v>62.2</v>
      </c>
      <c r="J16" s="39">
        <v>-146</v>
      </c>
      <c r="K16" s="39">
        <v>-97.9</v>
      </c>
      <c r="L16" s="39">
        <v>-38.299999999999997</v>
      </c>
      <c r="M16" s="39">
        <v>-96.8</v>
      </c>
      <c r="N16" s="39">
        <v>345.7</v>
      </c>
      <c r="O16" s="39">
        <v>302.60000000000002</v>
      </c>
      <c r="P16" s="39">
        <v>130.4</v>
      </c>
      <c r="Q16" s="39">
        <v>86.2</v>
      </c>
      <c r="R16" s="39">
        <v>-51.2</v>
      </c>
      <c r="S16" s="39">
        <v>-52.1</v>
      </c>
      <c r="T16" s="39">
        <v>-32</v>
      </c>
      <c r="U16" s="39">
        <v>-43.2</v>
      </c>
      <c r="V16" s="39">
        <v>-10.9</v>
      </c>
      <c r="W16" s="39">
        <v>-69</v>
      </c>
      <c r="X16" s="39">
        <v>-28.2</v>
      </c>
      <c r="Y16" s="39">
        <v>-60.6</v>
      </c>
      <c r="Z16" s="39">
        <v>-462.3</v>
      </c>
      <c r="AA16" s="39">
        <v>-462.6</v>
      </c>
      <c r="AB16" s="39">
        <v>167.1</v>
      </c>
      <c r="AC16" s="39">
        <v>54.2</v>
      </c>
      <c r="AD16" s="39">
        <v>126.2</v>
      </c>
      <c r="AE16" s="39">
        <v>34.6</v>
      </c>
      <c r="AF16" s="39">
        <v>44.9</v>
      </c>
      <c r="AG16" s="39">
        <v>13.5</v>
      </c>
      <c r="AH16" s="39">
        <v>-12.4</v>
      </c>
      <c r="AI16" s="39">
        <v>229</v>
      </c>
      <c r="AJ16" s="39">
        <v>-37.700000000000003</v>
      </c>
      <c r="AK16" s="39">
        <v>281.5</v>
      </c>
      <c r="AL16" s="39">
        <v>180.2</v>
      </c>
      <c r="AM16" s="39">
        <v>-124.5</v>
      </c>
      <c r="AN16" s="39">
        <v>-146.6</v>
      </c>
      <c r="AO16" s="39">
        <v>-119.2</v>
      </c>
      <c r="AP16" s="39">
        <v>-28.248999999999999</v>
      </c>
      <c r="AQ16" s="39">
        <v>-51.8</v>
      </c>
      <c r="AR16" s="39">
        <v>-0.5</v>
      </c>
      <c r="AS16" s="39">
        <v>-123.6</v>
      </c>
      <c r="AT16" s="39">
        <v>-226.9</v>
      </c>
      <c r="AU16" s="39">
        <v>-170</v>
      </c>
      <c r="AV16" s="39">
        <v>-97.1</v>
      </c>
      <c r="AW16" s="39">
        <v>-60</v>
      </c>
    </row>
    <row r="17" spans="2:49" ht="21" customHeight="1" x14ac:dyDescent="0.3">
      <c r="B17" s="8" t="s">
        <v>63</v>
      </c>
      <c r="C17" s="40">
        <f t="shared" ref="C17:D17" si="0">SUM(C7:C16)</f>
        <v>547.30000000000007</v>
      </c>
      <c r="D17" s="40">
        <f t="shared" si="0"/>
        <v>250.79999999999959</v>
      </c>
      <c r="E17" s="40">
        <f t="shared" ref="E17:F17" si="1">SUM(E7:E16)</f>
        <v>-199.50000000000011</v>
      </c>
      <c r="F17" s="40">
        <f t="shared" si="1"/>
        <v>228.90000000000009</v>
      </c>
      <c r="G17" s="40">
        <f t="shared" ref="G17:H17" si="2">SUM(G7:G16)</f>
        <v>0.60000000000002274</v>
      </c>
      <c r="H17" s="40">
        <f t="shared" si="2"/>
        <v>-133.89999999999992</v>
      </c>
      <c r="I17" s="40">
        <f t="shared" ref="I17:AC17" si="3">SUM(I7:I16)</f>
        <v>20.700000000000031</v>
      </c>
      <c r="J17" s="40">
        <f t="shared" si="3"/>
        <v>-337.69999999999953</v>
      </c>
      <c r="K17" s="40">
        <f t="shared" si="3"/>
        <v>-245.00000000000006</v>
      </c>
      <c r="L17" s="40">
        <f t="shared" si="3"/>
        <v>-368.2000000000001</v>
      </c>
      <c r="M17" s="40">
        <f t="shared" si="3"/>
        <v>-111.40000000000006</v>
      </c>
      <c r="N17" s="40">
        <f t="shared" si="3"/>
        <v>610.00000000000023</v>
      </c>
      <c r="O17" s="40">
        <f t="shared" si="3"/>
        <v>1013</v>
      </c>
      <c r="P17" s="40">
        <f t="shared" si="3"/>
        <v>686.00000000000011</v>
      </c>
      <c r="Q17" s="40">
        <f t="shared" si="3"/>
        <v>440.9</v>
      </c>
      <c r="R17" s="40">
        <f t="shared" si="3"/>
        <v>-280.3</v>
      </c>
      <c r="S17" s="40">
        <f t="shared" si="3"/>
        <v>-270.3</v>
      </c>
      <c r="T17" s="40">
        <f t="shared" si="3"/>
        <v>-233.40000000000003</v>
      </c>
      <c r="U17" s="40">
        <f t="shared" si="3"/>
        <v>-70.100000000000023</v>
      </c>
      <c r="V17" s="40">
        <f t="shared" si="3"/>
        <v>-296.7</v>
      </c>
      <c r="W17" s="40">
        <f t="shared" si="3"/>
        <v>-302.10000000000002</v>
      </c>
      <c r="X17" s="40">
        <f t="shared" si="3"/>
        <v>-317.60000000000002</v>
      </c>
      <c r="Y17" s="40">
        <f t="shared" si="3"/>
        <v>-209.89999999999998</v>
      </c>
      <c r="Z17" s="40">
        <f t="shared" si="3"/>
        <v>219.2</v>
      </c>
      <c r="AA17" s="40">
        <f t="shared" si="3"/>
        <v>397.19999999999982</v>
      </c>
      <c r="AB17" s="40">
        <f t="shared" si="3"/>
        <v>487.40000000000009</v>
      </c>
      <c r="AC17" s="40">
        <f t="shared" si="3"/>
        <v>186.7</v>
      </c>
      <c r="AD17" s="40">
        <v>258.60000000000008</v>
      </c>
      <c r="AE17" s="40">
        <v>-362.5</v>
      </c>
      <c r="AF17" s="40">
        <v>-130.59999999999997</v>
      </c>
      <c r="AG17" s="40">
        <v>-61.09999999999998</v>
      </c>
      <c r="AH17" s="40">
        <v>78.399999999999991</v>
      </c>
      <c r="AI17" s="40">
        <v>257.5</v>
      </c>
      <c r="AJ17" s="40">
        <v>298</v>
      </c>
      <c r="AK17" s="40">
        <v>580.4</v>
      </c>
      <c r="AL17" s="40">
        <v>345.79999999999995</v>
      </c>
      <c r="AM17" s="40">
        <v>-235.10000000000002</v>
      </c>
      <c r="AN17" s="40">
        <v>-171.4</v>
      </c>
      <c r="AO17" s="40">
        <v>-77.5</v>
      </c>
      <c r="AP17" s="40">
        <v>172.08799999999997</v>
      </c>
      <c r="AQ17" s="40">
        <v>11.299999999999997</v>
      </c>
      <c r="AR17" s="40">
        <v>84.5</v>
      </c>
      <c r="AS17" s="40">
        <v>-122.2</v>
      </c>
      <c r="AT17" s="40">
        <v>35.500000000000085</v>
      </c>
      <c r="AU17" s="40">
        <v>-10.60000000000008</v>
      </c>
      <c r="AV17" s="40">
        <v>-59.400000000000034</v>
      </c>
      <c r="AW17" s="40">
        <v>-43.599999999999994</v>
      </c>
    </row>
    <row r="18" spans="2:49" ht="21" customHeight="1" x14ac:dyDescent="0.3">
      <c r="B18" s="5" t="s">
        <v>64</v>
      </c>
      <c r="C18" s="33">
        <v>42.7</v>
      </c>
      <c r="D18" s="33">
        <v>30.9</v>
      </c>
      <c r="E18" s="33">
        <v>7.8</v>
      </c>
      <c r="F18" s="33">
        <v>18.600000000000001</v>
      </c>
      <c r="G18" s="33">
        <v>18.2</v>
      </c>
      <c r="H18" s="33">
        <v>13.7</v>
      </c>
      <c r="I18" s="33">
        <v>8.3000000000000007</v>
      </c>
      <c r="J18" s="33">
        <v>6.2</v>
      </c>
      <c r="K18" s="33">
        <v>7.3</v>
      </c>
      <c r="L18" s="33">
        <v>4.5</v>
      </c>
      <c r="M18" s="33">
        <v>0.7</v>
      </c>
      <c r="N18" s="33">
        <v>5.8</v>
      </c>
      <c r="O18" s="33">
        <v>2.9</v>
      </c>
      <c r="P18" s="33">
        <v>1.4</v>
      </c>
      <c r="Q18" s="33">
        <v>0.5</v>
      </c>
      <c r="R18" s="33">
        <v>27.1</v>
      </c>
      <c r="S18" s="33">
        <v>18.399999999999999</v>
      </c>
      <c r="T18" s="33">
        <v>16</v>
      </c>
      <c r="U18" s="33">
        <v>5.5</v>
      </c>
      <c r="V18" s="33">
        <v>27.7</v>
      </c>
      <c r="W18" s="33">
        <v>22.6</v>
      </c>
      <c r="X18" s="33">
        <v>15.2</v>
      </c>
      <c r="Y18" s="33">
        <v>4.9000000000000004</v>
      </c>
      <c r="Z18" s="33">
        <v>19.7</v>
      </c>
      <c r="AA18" s="33">
        <v>16</v>
      </c>
      <c r="AB18" s="33">
        <v>9.9</v>
      </c>
      <c r="AC18" s="33">
        <v>1</v>
      </c>
      <c r="AD18" s="33">
        <v>21.3</v>
      </c>
      <c r="AE18" s="33">
        <v>11.7</v>
      </c>
      <c r="AF18" s="33">
        <v>4.9000000000000004</v>
      </c>
      <c r="AG18" s="33">
        <v>1.2</v>
      </c>
      <c r="AH18" s="33">
        <v>43.7</v>
      </c>
      <c r="AI18" s="33">
        <v>32.299999999999997</v>
      </c>
      <c r="AJ18" s="33">
        <v>25.7</v>
      </c>
      <c r="AK18" s="33">
        <v>35.200000000000003</v>
      </c>
      <c r="AL18" s="33">
        <v>19.399999999999999</v>
      </c>
      <c r="AM18" s="33">
        <v>5.9</v>
      </c>
      <c r="AN18" s="33">
        <v>4.4000000000000004</v>
      </c>
      <c r="AO18" s="33">
        <v>1.4</v>
      </c>
      <c r="AP18" s="33">
        <v>6.5549999999999997</v>
      </c>
      <c r="AQ18" s="33">
        <v>6.6</v>
      </c>
      <c r="AR18" s="33">
        <v>3.5</v>
      </c>
      <c r="AS18" s="33">
        <v>2.5</v>
      </c>
      <c r="AT18" s="33">
        <v>10.3</v>
      </c>
      <c r="AU18" s="33">
        <v>7.5</v>
      </c>
      <c r="AV18" s="33">
        <v>6.9</v>
      </c>
      <c r="AW18" s="33">
        <v>4.0999999999999996</v>
      </c>
    </row>
    <row r="19" spans="2:49" x14ac:dyDescent="0.3">
      <c r="B19" s="5" t="s">
        <v>65</v>
      </c>
      <c r="C19" s="33">
        <v>-47.9</v>
      </c>
      <c r="D19" s="33">
        <v>-50.6</v>
      </c>
      <c r="E19" s="33">
        <v>-20.6</v>
      </c>
      <c r="F19" s="33">
        <v>-24.2</v>
      </c>
      <c r="G19" s="33">
        <v>-13.8</v>
      </c>
      <c r="H19" s="33">
        <v>2</v>
      </c>
      <c r="I19" s="33">
        <v>-4.4000000000000004</v>
      </c>
      <c r="J19" s="33">
        <v>-24.4</v>
      </c>
      <c r="K19" s="33">
        <v>-7.6</v>
      </c>
      <c r="L19" s="33">
        <v>-12.6</v>
      </c>
      <c r="M19" s="33">
        <v>-8.6</v>
      </c>
      <c r="N19" s="33">
        <v>-40</v>
      </c>
      <c r="O19" s="33">
        <v>-25.3</v>
      </c>
      <c r="P19" s="33">
        <v>-13.1</v>
      </c>
      <c r="Q19" s="33">
        <v>-9.3000000000000007</v>
      </c>
      <c r="R19" s="33">
        <v>-19.5</v>
      </c>
      <c r="S19" s="33">
        <v>-13.3</v>
      </c>
      <c r="T19" s="33">
        <v>-7.6</v>
      </c>
      <c r="U19" s="33">
        <v>-5.4</v>
      </c>
      <c r="V19" s="33">
        <v>-15.6</v>
      </c>
      <c r="W19" s="33">
        <v>-13.9</v>
      </c>
      <c r="X19" s="33">
        <v>-7.6</v>
      </c>
      <c r="Y19" s="33">
        <v>-1.2</v>
      </c>
      <c r="Z19" s="33">
        <v>-16.5</v>
      </c>
      <c r="AA19" s="33">
        <v>-20.2</v>
      </c>
      <c r="AB19" s="33">
        <v>-24.7</v>
      </c>
      <c r="AC19" s="33">
        <v>-17.100000000000001</v>
      </c>
      <c r="AD19" s="33">
        <v>-3.5</v>
      </c>
      <c r="AE19" s="33">
        <v>-18.8</v>
      </c>
      <c r="AF19" s="33">
        <v>-15.1</v>
      </c>
      <c r="AG19" s="33">
        <v>-5</v>
      </c>
      <c r="AH19" s="33">
        <v>-2.9</v>
      </c>
      <c r="AI19" s="33">
        <v>-2.2000000000000002</v>
      </c>
      <c r="AJ19" s="33">
        <v>-1.5</v>
      </c>
      <c r="AK19" s="33">
        <v>-0.5</v>
      </c>
      <c r="AL19" s="33">
        <v>-4.2</v>
      </c>
      <c r="AM19" s="33">
        <v>-3.2</v>
      </c>
      <c r="AN19" s="33">
        <v>-2.1</v>
      </c>
      <c r="AO19" s="33">
        <v>-0.7</v>
      </c>
      <c r="AP19" s="33">
        <v>-17.669</v>
      </c>
      <c r="AQ19" s="33">
        <v>-7.3</v>
      </c>
      <c r="AR19" s="33">
        <v>-6.4</v>
      </c>
      <c r="AS19" s="33">
        <v>-1.4</v>
      </c>
      <c r="AT19" s="33">
        <v>-18.899999999999999</v>
      </c>
      <c r="AU19" s="33">
        <v>-6.7</v>
      </c>
      <c r="AV19" s="33">
        <v>-9.8000000000000007</v>
      </c>
      <c r="AW19" s="33">
        <v>-3.1</v>
      </c>
    </row>
    <row r="20" spans="2:49" ht="17.25" x14ac:dyDescent="0.3">
      <c r="B20" s="5" t="s">
        <v>127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33">
        <v>0</v>
      </c>
      <c r="AG20" s="33">
        <v>0</v>
      </c>
      <c r="AH20" s="33">
        <v>0</v>
      </c>
      <c r="AI20" s="33">
        <v>0</v>
      </c>
      <c r="AJ20" s="33">
        <v>0</v>
      </c>
      <c r="AK20" s="33">
        <v>0</v>
      </c>
      <c r="AL20" s="33">
        <v>0</v>
      </c>
      <c r="AM20" s="33">
        <v>26.5</v>
      </c>
      <c r="AN20" s="33">
        <v>2.5</v>
      </c>
      <c r="AO20" s="33">
        <v>0.1</v>
      </c>
      <c r="AP20" s="33">
        <v>-12.032</v>
      </c>
      <c r="AQ20" s="33">
        <v>-6.7</v>
      </c>
      <c r="AR20" s="33">
        <v>1.9</v>
      </c>
      <c r="AS20" s="33">
        <v>8.3000000000000007</v>
      </c>
      <c r="AT20" s="33">
        <v>-4.3</v>
      </c>
      <c r="AU20" s="33">
        <v>0.1</v>
      </c>
      <c r="AV20" s="33">
        <v>4.9000000000000004</v>
      </c>
      <c r="AW20" s="33">
        <v>-5.8</v>
      </c>
    </row>
    <row r="21" spans="2:49" x14ac:dyDescent="0.3">
      <c r="B21" s="15" t="s">
        <v>66</v>
      </c>
      <c r="C21" s="39">
        <v>-8.3000000000000007</v>
      </c>
      <c r="D21" s="39">
        <v>-3.3</v>
      </c>
      <c r="E21" s="39">
        <v>-2.4</v>
      </c>
      <c r="F21" s="39">
        <v>-3.2</v>
      </c>
      <c r="G21" s="39">
        <v>-2.4</v>
      </c>
      <c r="H21" s="39">
        <v>-1.6</v>
      </c>
      <c r="I21" s="39">
        <v>-0.8</v>
      </c>
      <c r="J21" s="39">
        <v>-2.6</v>
      </c>
      <c r="K21" s="39">
        <v>-1.8</v>
      </c>
      <c r="L21" s="39">
        <v>-1</v>
      </c>
      <c r="M21" s="39">
        <v>-0.2</v>
      </c>
      <c r="N21" s="39">
        <v>-3.9</v>
      </c>
      <c r="O21" s="39">
        <v>-3</v>
      </c>
      <c r="P21" s="39">
        <v>-2</v>
      </c>
      <c r="Q21" s="39">
        <v>0</v>
      </c>
      <c r="R21" s="39">
        <v>-3.2</v>
      </c>
      <c r="S21" s="39">
        <v>-3.7</v>
      </c>
      <c r="T21" s="39">
        <v>-1.4</v>
      </c>
      <c r="U21" s="39">
        <v>-0.79999999999999993</v>
      </c>
      <c r="V21" s="39">
        <f>-3.8-0.1</f>
        <v>-3.9</v>
      </c>
      <c r="W21" s="39">
        <v>-1.8</v>
      </c>
      <c r="X21" s="39">
        <v>-1.4</v>
      </c>
      <c r="Y21" s="39">
        <v>-0.7</v>
      </c>
      <c r="Z21" s="39">
        <v>-6.3</v>
      </c>
      <c r="AA21" s="39">
        <v>-4.9000000000000004</v>
      </c>
      <c r="AB21" s="39">
        <v>-4.2</v>
      </c>
      <c r="AC21" s="39">
        <v>-3.5</v>
      </c>
      <c r="AD21" s="39">
        <v>-8.8000000000000007</v>
      </c>
      <c r="AE21" s="39">
        <v>-4.5</v>
      </c>
      <c r="AF21" s="39">
        <v>-3.7</v>
      </c>
      <c r="AG21" s="39">
        <v>-1.8</v>
      </c>
      <c r="AH21" s="39">
        <v>-13.9</v>
      </c>
      <c r="AI21" s="39">
        <v>-17.600000000000001</v>
      </c>
      <c r="AJ21" s="39">
        <v>-15.9</v>
      </c>
      <c r="AK21" s="39">
        <v>-15.7</v>
      </c>
      <c r="AL21" s="39">
        <v>-22.3</v>
      </c>
      <c r="AM21" s="39">
        <v>-3.8</v>
      </c>
      <c r="AN21" s="39">
        <v>-2.9</v>
      </c>
      <c r="AO21" s="39">
        <v>-3.1</v>
      </c>
      <c r="AP21" s="39">
        <v>-1.8580000000000001</v>
      </c>
      <c r="AQ21" s="39">
        <v>-3.1</v>
      </c>
      <c r="AR21" s="39">
        <v>-1</v>
      </c>
      <c r="AS21" s="39">
        <v>-0.1</v>
      </c>
      <c r="AT21" s="39">
        <v>-2.5</v>
      </c>
      <c r="AU21" s="39">
        <v>-1.4</v>
      </c>
      <c r="AV21" s="39">
        <v>0</v>
      </c>
      <c r="AW21" s="39">
        <v>0</v>
      </c>
    </row>
    <row r="22" spans="2:49" ht="21" customHeight="1" x14ac:dyDescent="0.3">
      <c r="B22" s="8" t="s">
        <v>67</v>
      </c>
      <c r="C22" s="40">
        <f t="shared" ref="C22:D22" si="4">SUM(C17:C21)</f>
        <v>533.80000000000018</v>
      </c>
      <c r="D22" s="40">
        <f t="shared" si="4"/>
        <v>227.79999999999959</v>
      </c>
      <c r="E22" s="40">
        <f t="shared" ref="E22:F22" si="5">SUM(E17:E21)</f>
        <v>-214.7000000000001</v>
      </c>
      <c r="F22" s="40">
        <f t="shared" si="5"/>
        <v>220.10000000000011</v>
      </c>
      <c r="G22" s="40">
        <f t="shared" ref="G22:H22" si="6">SUM(G17:G21)</f>
        <v>2.6000000000000214</v>
      </c>
      <c r="H22" s="40">
        <f t="shared" si="6"/>
        <v>-119.79999999999991</v>
      </c>
      <c r="I22" s="40">
        <f t="shared" ref="I22:AC22" si="7">SUM(I17:I21)</f>
        <v>23.800000000000029</v>
      </c>
      <c r="J22" s="40">
        <f t="shared" si="7"/>
        <v>-358.49999999999955</v>
      </c>
      <c r="K22" s="40">
        <f t="shared" si="7"/>
        <v>-247.10000000000005</v>
      </c>
      <c r="L22" s="40">
        <f t="shared" si="7"/>
        <v>-377.30000000000013</v>
      </c>
      <c r="M22" s="40">
        <f t="shared" si="7"/>
        <v>-119.50000000000006</v>
      </c>
      <c r="N22" s="40">
        <f t="shared" si="7"/>
        <v>571.9000000000002</v>
      </c>
      <c r="O22" s="40">
        <f t="shared" si="7"/>
        <v>987.6</v>
      </c>
      <c r="P22" s="40">
        <f t="shared" si="7"/>
        <v>672.30000000000007</v>
      </c>
      <c r="Q22" s="40">
        <f t="shared" si="7"/>
        <v>432.09999999999997</v>
      </c>
      <c r="R22" s="40">
        <f t="shared" si="7"/>
        <v>-275.90000000000003</v>
      </c>
      <c r="S22" s="40">
        <f t="shared" si="7"/>
        <v>-268.89999999999998</v>
      </c>
      <c r="T22" s="40">
        <f t="shared" si="7"/>
        <v>-226.40000000000003</v>
      </c>
      <c r="U22" s="40">
        <f t="shared" si="7"/>
        <v>-70.800000000000026</v>
      </c>
      <c r="V22" s="40">
        <f t="shared" si="7"/>
        <v>-288.5</v>
      </c>
      <c r="W22" s="40">
        <f t="shared" si="7"/>
        <v>-295.2</v>
      </c>
      <c r="X22" s="40">
        <f t="shared" si="7"/>
        <v>-311.40000000000003</v>
      </c>
      <c r="Y22" s="40">
        <f t="shared" si="7"/>
        <v>-206.89999999999995</v>
      </c>
      <c r="Z22" s="40">
        <f t="shared" si="7"/>
        <v>216.09999999999997</v>
      </c>
      <c r="AA22" s="40">
        <f t="shared" si="7"/>
        <v>388.09999999999985</v>
      </c>
      <c r="AB22" s="40">
        <f t="shared" si="7"/>
        <v>468.40000000000009</v>
      </c>
      <c r="AC22" s="40">
        <f t="shared" si="7"/>
        <v>167.1</v>
      </c>
      <c r="AD22" s="40">
        <v>267.60000000000008</v>
      </c>
      <c r="AE22" s="40">
        <v>-374.1</v>
      </c>
      <c r="AF22" s="40">
        <v>-144.49999999999994</v>
      </c>
      <c r="AG22" s="40">
        <v>-66.699999999999974</v>
      </c>
      <c r="AH22" s="40">
        <v>105.29999999999998</v>
      </c>
      <c r="AI22" s="40">
        <v>270</v>
      </c>
      <c r="AJ22" s="40">
        <v>306.3</v>
      </c>
      <c r="AK22" s="40">
        <v>599.4</v>
      </c>
      <c r="AL22" s="40">
        <v>338.69999999999993</v>
      </c>
      <c r="AM22" s="40">
        <v>-209.70000000000002</v>
      </c>
      <c r="AN22" s="40">
        <v>-169.5</v>
      </c>
      <c r="AO22" s="40">
        <v>-79.8</v>
      </c>
      <c r="AP22" s="40">
        <v>147.08399999999995</v>
      </c>
      <c r="AQ22" s="40">
        <v>0.7999999999999976</v>
      </c>
      <c r="AR22" s="40">
        <v>82.5</v>
      </c>
      <c r="AS22" s="40">
        <v>-112.9</v>
      </c>
      <c r="AT22" s="40">
        <v>20.100000000000083</v>
      </c>
      <c r="AU22" s="40">
        <v>-11.10000000000008</v>
      </c>
      <c r="AV22" s="40">
        <v>-57.400000000000041</v>
      </c>
      <c r="AW22" s="40">
        <v>-48.399999999999991</v>
      </c>
    </row>
    <row r="23" spans="2:49" ht="21" customHeight="1" x14ac:dyDescent="0.3">
      <c r="B23" s="5" t="s">
        <v>212</v>
      </c>
      <c r="C23" s="33">
        <v>0</v>
      </c>
      <c r="D23" s="33">
        <v>0</v>
      </c>
      <c r="E23" s="33">
        <v>0</v>
      </c>
      <c r="F23" s="33">
        <v>-594.9</v>
      </c>
      <c r="G23" s="33">
        <v>3.6</v>
      </c>
      <c r="H23" s="33">
        <v>3.6</v>
      </c>
      <c r="I23" s="33">
        <v>3.6</v>
      </c>
      <c r="J23" s="33">
        <v>-371.8</v>
      </c>
      <c r="K23" s="33">
        <v>0</v>
      </c>
      <c r="L23" s="33">
        <v>0</v>
      </c>
      <c r="M23" s="33">
        <v>0</v>
      </c>
      <c r="N23" s="33">
        <v>-394</v>
      </c>
      <c r="O23" s="33">
        <v>-21.7</v>
      </c>
      <c r="P23" s="33">
        <v>-21.7</v>
      </c>
      <c r="Q23" s="33">
        <v>-21.7</v>
      </c>
      <c r="R23" s="33">
        <v>-2307.6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33"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0</v>
      </c>
      <c r="AM23" s="33">
        <v>0</v>
      </c>
      <c r="AN23" s="33">
        <v>0</v>
      </c>
      <c r="AO23" s="33">
        <v>0</v>
      </c>
      <c r="AP23" s="33">
        <v>0</v>
      </c>
      <c r="AQ23" s="33">
        <v>0</v>
      </c>
      <c r="AR23" s="33">
        <v>0</v>
      </c>
      <c r="AS23" s="33">
        <v>0</v>
      </c>
      <c r="AT23" s="33">
        <v>0</v>
      </c>
      <c r="AU23" s="33">
        <v>0</v>
      </c>
      <c r="AV23" s="33">
        <v>0</v>
      </c>
      <c r="AW23" s="33">
        <v>0</v>
      </c>
    </row>
    <row r="24" spans="2:49" x14ac:dyDescent="0.3">
      <c r="B24" s="5" t="s">
        <v>213</v>
      </c>
      <c r="C24" s="33">
        <v>-519.6</v>
      </c>
      <c r="D24" s="33">
        <v>-376.7</v>
      </c>
      <c r="E24" s="33">
        <v>-211.8</v>
      </c>
      <c r="F24" s="33">
        <v>-425.4</v>
      </c>
      <c r="G24" s="33">
        <v>-279.5</v>
      </c>
      <c r="H24" s="33">
        <v>-156.69999999999999</v>
      </c>
      <c r="I24" s="33">
        <v>-152.19999999999999</v>
      </c>
      <c r="J24" s="33">
        <v>-203.5</v>
      </c>
      <c r="K24" s="33">
        <v>-86</v>
      </c>
      <c r="L24" s="33">
        <v>-41.6</v>
      </c>
      <c r="M24" s="33">
        <v>-14.5</v>
      </c>
      <c r="N24" s="33">
        <v>-107.9</v>
      </c>
      <c r="O24" s="33">
        <v>-91.7</v>
      </c>
      <c r="P24" s="33">
        <v>-30.3</v>
      </c>
      <c r="Q24" s="33">
        <v>-10.8</v>
      </c>
      <c r="R24" s="33">
        <v>-3.3</v>
      </c>
      <c r="S24" s="33">
        <v>-1.5</v>
      </c>
      <c r="T24" s="33">
        <v>-0.7</v>
      </c>
      <c r="U24" s="33">
        <v>0</v>
      </c>
      <c r="V24" s="33">
        <v>-10.199999999999999</v>
      </c>
      <c r="W24" s="33">
        <v>-4.7</v>
      </c>
      <c r="X24" s="33">
        <v>-2.7</v>
      </c>
      <c r="Y24" s="33">
        <v>-1.2</v>
      </c>
      <c r="Z24" s="33">
        <v>-22.3</v>
      </c>
      <c r="AA24" s="33">
        <v>-15.4</v>
      </c>
      <c r="AB24" s="33">
        <v>-11.3</v>
      </c>
      <c r="AC24" s="33">
        <v>-4.3</v>
      </c>
      <c r="AD24" s="33">
        <v>-43.7</v>
      </c>
      <c r="AE24" s="33">
        <v>-35</v>
      </c>
      <c r="AF24" s="33">
        <v>-24.8</v>
      </c>
      <c r="AG24" s="33">
        <v>-13.3</v>
      </c>
      <c r="AH24" s="33">
        <v>-28.3</v>
      </c>
      <c r="AI24" s="33">
        <v>-16.899999999999999</v>
      </c>
      <c r="AJ24" s="33">
        <v>-14.2</v>
      </c>
      <c r="AK24" s="33">
        <v>-9</v>
      </c>
      <c r="AL24" s="33">
        <v>-53.6</v>
      </c>
      <c r="AM24" s="33">
        <v>-43.3</v>
      </c>
      <c r="AN24" s="33">
        <v>-31</v>
      </c>
      <c r="AO24" s="33">
        <v>-21.2</v>
      </c>
      <c r="AP24" s="33">
        <v>-111.02500000000001</v>
      </c>
      <c r="AQ24" s="33">
        <v>-87</v>
      </c>
      <c r="AR24" s="33">
        <v>-40</v>
      </c>
      <c r="AS24" s="33">
        <v>-10.199999999999999</v>
      </c>
      <c r="AT24" s="33">
        <v>-24.3</v>
      </c>
      <c r="AU24" s="33">
        <v>-9.3000000000000007</v>
      </c>
      <c r="AV24" s="33">
        <v>-6.2</v>
      </c>
      <c r="AW24" s="33">
        <v>-1.5</v>
      </c>
    </row>
    <row r="25" spans="2:49" x14ac:dyDescent="0.3">
      <c r="B25" s="5" t="s">
        <v>68</v>
      </c>
      <c r="C25" s="33">
        <v>-213.6</v>
      </c>
      <c r="D25" s="33">
        <v>-183.4</v>
      </c>
      <c r="E25" s="33">
        <v>-31</v>
      </c>
      <c r="F25" s="33">
        <v>-361.2</v>
      </c>
      <c r="G25" s="33">
        <v>-295</v>
      </c>
      <c r="H25" s="33">
        <v>-242.5</v>
      </c>
      <c r="I25" s="33">
        <v>-150</v>
      </c>
      <c r="J25" s="33">
        <v>-483.1</v>
      </c>
      <c r="K25" s="33">
        <v>-307.2</v>
      </c>
      <c r="L25" s="33">
        <v>-171.4</v>
      </c>
      <c r="M25" s="33">
        <v>-81.2</v>
      </c>
      <c r="N25" s="33">
        <v>-204.8</v>
      </c>
      <c r="O25" s="33">
        <v>-108.4</v>
      </c>
      <c r="P25" s="33">
        <v>-66.3</v>
      </c>
      <c r="Q25" s="33">
        <v>-22.8</v>
      </c>
      <c r="R25" s="33">
        <v>-360.1</v>
      </c>
      <c r="S25" s="33">
        <v>-298</v>
      </c>
      <c r="T25" s="33">
        <v>-195.4</v>
      </c>
      <c r="U25" s="33">
        <v>-72.8</v>
      </c>
      <c r="V25" s="33">
        <v>-201.8</v>
      </c>
      <c r="W25" s="33">
        <v>-123.5</v>
      </c>
      <c r="X25" s="33">
        <v>-80.3</v>
      </c>
      <c r="Y25" s="33">
        <v>-27.7</v>
      </c>
      <c r="Z25" s="33">
        <v>-56.4</v>
      </c>
      <c r="AA25" s="33">
        <v>-11.4</v>
      </c>
      <c r="AB25" s="33">
        <v>-8.1</v>
      </c>
      <c r="AC25" s="33">
        <v>-3.7</v>
      </c>
      <c r="AD25" s="33">
        <v>-47.8</v>
      </c>
      <c r="AE25" s="33">
        <v>-27.9</v>
      </c>
      <c r="AF25" s="33">
        <v>-21.7</v>
      </c>
      <c r="AG25" s="33">
        <v>-6.6</v>
      </c>
      <c r="AH25" s="33">
        <v>-31.7</v>
      </c>
      <c r="AI25" s="33">
        <v>-12.6</v>
      </c>
      <c r="AJ25" s="33">
        <v>-6.7</v>
      </c>
      <c r="AK25" s="33">
        <v>-0.4</v>
      </c>
      <c r="AL25" s="33">
        <v>-52.4</v>
      </c>
      <c r="AM25" s="33">
        <v>-39.700000000000003</v>
      </c>
      <c r="AN25" s="33">
        <v>-27.8</v>
      </c>
      <c r="AO25" s="33">
        <v>-12.9</v>
      </c>
      <c r="AP25" s="33">
        <v>-44.41</v>
      </c>
      <c r="AQ25" s="33">
        <v>-28.5</v>
      </c>
      <c r="AR25" s="33">
        <v>-9.9</v>
      </c>
      <c r="AS25" s="33">
        <v>-2.2999999999999998</v>
      </c>
      <c r="AT25" s="33">
        <v>-20.9</v>
      </c>
      <c r="AU25" s="33">
        <v>-10.6</v>
      </c>
      <c r="AV25" s="33">
        <v>-4.8</v>
      </c>
      <c r="AW25" s="33">
        <v>-2</v>
      </c>
    </row>
    <row r="26" spans="2:49" x14ac:dyDescent="0.3">
      <c r="B26" s="5" t="s">
        <v>69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336.3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2</v>
      </c>
      <c r="AE26" s="33">
        <v>0</v>
      </c>
      <c r="AF26" s="33">
        <v>0</v>
      </c>
      <c r="AG26" s="33">
        <v>0</v>
      </c>
      <c r="AH26" s="33">
        <v>1.2</v>
      </c>
      <c r="AI26" s="33">
        <v>0</v>
      </c>
      <c r="AJ26" s="33">
        <v>0</v>
      </c>
      <c r="AK26" s="33">
        <v>0</v>
      </c>
      <c r="AL26" s="33">
        <v>0.1</v>
      </c>
      <c r="AM26" s="33">
        <v>0</v>
      </c>
      <c r="AN26" s="33">
        <v>0</v>
      </c>
      <c r="AO26" s="33">
        <v>0</v>
      </c>
      <c r="AP26" s="33">
        <v>1.847</v>
      </c>
      <c r="AQ26" s="33">
        <v>0</v>
      </c>
      <c r="AR26" s="33">
        <v>-0.2</v>
      </c>
      <c r="AS26" s="33">
        <v>0</v>
      </c>
      <c r="AT26" s="33">
        <v>0.1</v>
      </c>
      <c r="AU26" s="33">
        <v>0</v>
      </c>
      <c r="AV26" s="33">
        <v>0</v>
      </c>
      <c r="AW26" s="33">
        <v>0</v>
      </c>
    </row>
    <row r="27" spans="2:49" x14ac:dyDescent="0.3">
      <c r="B27" s="5" t="s">
        <v>277</v>
      </c>
      <c r="C27" s="33">
        <v>-1835.4</v>
      </c>
      <c r="D27" s="33">
        <v>-1835.4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2:49" x14ac:dyDescent="0.3">
      <c r="B28" s="5" t="s">
        <v>70</v>
      </c>
      <c r="C28" s="33">
        <v>-42.5</v>
      </c>
      <c r="D28" s="33">
        <v>-35.799999999999997</v>
      </c>
      <c r="E28" s="33">
        <v>-15.8</v>
      </c>
      <c r="F28" s="33">
        <v>-169.5</v>
      </c>
      <c r="G28" s="33">
        <v>-126.9</v>
      </c>
      <c r="H28" s="33">
        <v>-126.6</v>
      </c>
      <c r="I28" s="33">
        <v>-9.1</v>
      </c>
      <c r="J28" s="33">
        <v>-39</v>
      </c>
      <c r="K28" s="33">
        <v>-15.3</v>
      </c>
      <c r="L28" s="33">
        <v>-0.6</v>
      </c>
      <c r="M28" s="33">
        <v>-0.4</v>
      </c>
      <c r="N28" s="33">
        <v>-2.7</v>
      </c>
      <c r="O28" s="33">
        <v>-2.7</v>
      </c>
      <c r="P28" s="33">
        <v>-2.5</v>
      </c>
      <c r="Q28" s="33">
        <v>-2.2000000000000002</v>
      </c>
      <c r="R28" s="33">
        <v>0</v>
      </c>
      <c r="S28" s="33">
        <v>0</v>
      </c>
      <c r="T28" s="33">
        <v>0</v>
      </c>
      <c r="U28" s="33">
        <v>0</v>
      </c>
      <c r="V28" s="33">
        <v>-0.1</v>
      </c>
      <c r="W28" s="33">
        <v>-0.1</v>
      </c>
      <c r="X28" s="33">
        <v>-0.1</v>
      </c>
      <c r="Y28" s="33">
        <v>-0.1</v>
      </c>
      <c r="Z28" s="33">
        <v>0.1</v>
      </c>
      <c r="AA28" s="33">
        <v>-0.2</v>
      </c>
      <c r="AB28" s="33">
        <v>-0.2</v>
      </c>
      <c r="AC28" s="33">
        <v>-0.2</v>
      </c>
      <c r="AD28" s="33">
        <v>-0.4</v>
      </c>
      <c r="AE28" s="33">
        <v>-0.2</v>
      </c>
      <c r="AF28" s="33">
        <v>-0.2</v>
      </c>
      <c r="AG28" s="33">
        <v>-0.2</v>
      </c>
      <c r="AH28" s="33">
        <v>-0.1</v>
      </c>
      <c r="AI28" s="33">
        <v>-0.1</v>
      </c>
      <c r="AJ28" s="33">
        <v>0</v>
      </c>
      <c r="AK28" s="33">
        <v>0</v>
      </c>
      <c r="AL28" s="33">
        <v>0</v>
      </c>
      <c r="AM28" s="33">
        <v>-0.1</v>
      </c>
      <c r="AN28" s="33">
        <v>0</v>
      </c>
      <c r="AO28" s="33">
        <v>0</v>
      </c>
      <c r="AP28" s="33">
        <v>-9.8000000000000004E-2</v>
      </c>
      <c r="AQ28" s="33">
        <v>-0.1</v>
      </c>
      <c r="AR28" s="33">
        <v>0</v>
      </c>
      <c r="AS28" s="33">
        <v>0</v>
      </c>
      <c r="AT28" s="33">
        <v>-0.3</v>
      </c>
      <c r="AU28" s="33">
        <v>-0.4</v>
      </c>
      <c r="AV28" s="33">
        <v>-0.4</v>
      </c>
      <c r="AW28" s="33">
        <v>0</v>
      </c>
    </row>
    <row r="29" spans="2:49" x14ac:dyDescent="0.3">
      <c r="B29" s="15" t="s">
        <v>71</v>
      </c>
      <c r="C29" s="39">
        <v>1809.3</v>
      </c>
      <c r="D29" s="39">
        <v>1729.8</v>
      </c>
      <c r="E29" s="39">
        <v>589.5</v>
      </c>
      <c r="F29" s="39">
        <f>-414.6+1088.2</f>
        <v>673.6</v>
      </c>
      <c r="G29" s="39">
        <v>407</v>
      </c>
      <c r="H29" s="39">
        <v>34.700000000000045</v>
      </c>
      <c r="I29" s="39">
        <v>16.8</v>
      </c>
      <c r="J29" s="39">
        <v>-2115.8000000000002</v>
      </c>
      <c r="K29" s="39">
        <v>-947.4</v>
      </c>
      <c r="L29" s="39">
        <v>-965.90000000000009</v>
      </c>
      <c r="M29" s="39">
        <v>-973.3</v>
      </c>
      <c r="N29" s="39">
        <f>-2343.8+1141.7</f>
        <v>-1202.1000000000001</v>
      </c>
      <c r="O29" s="39">
        <v>-1826.8</v>
      </c>
      <c r="P29" s="39">
        <v>-1824.2</v>
      </c>
      <c r="Q29" s="39">
        <v>-572.70000000000005</v>
      </c>
      <c r="R29" s="39">
        <f>-1239.1+3100.2</f>
        <v>1861.1</v>
      </c>
      <c r="S29" s="39">
        <v>653.29999999999995</v>
      </c>
      <c r="T29" s="39">
        <v>527.1</v>
      </c>
      <c r="U29" s="39">
        <v>266</v>
      </c>
      <c r="V29" s="39">
        <f>-1228.7+1457.9</f>
        <v>229.20000000000005</v>
      </c>
      <c r="W29" s="39">
        <v>226.5</v>
      </c>
      <c r="X29" s="39">
        <v>-6.7999999999999545</v>
      </c>
      <c r="Y29" s="39">
        <v>-0.40000000000003411</v>
      </c>
      <c r="Z29" s="39">
        <f>-2162.8+896.2</f>
        <v>-1266.6000000000001</v>
      </c>
      <c r="AA29" s="39">
        <v>-915.4</v>
      </c>
      <c r="AB29" s="39">
        <v>-913.49999999999989</v>
      </c>
      <c r="AC29" s="39">
        <v>-7.1</v>
      </c>
      <c r="AD29" s="39">
        <v>-358.30000000000007</v>
      </c>
      <c r="AE29" s="39">
        <v>-354.4</v>
      </c>
      <c r="AF29" s="39">
        <v>-351.9</v>
      </c>
      <c r="AG29" s="39">
        <v>-100.2</v>
      </c>
      <c r="AH29" s="39">
        <v>-119.20000000000005</v>
      </c>
      <c r="AI29" s="39">
        <v>-208.9</v>
      </c>
      <c r="AJ29" s="39">
        <v>-210.1</v>
      </c>
      <c r="AK29" s="39">
        <v>-5</v>
      </c>
      <c r="AL29" s="39">
        <v>-397.7</v>
      </c>
      <c r="AM29" s="39">
        <v>96.1</v>
      </c>
      <c r="AN29" s="39">
        <v>-1.8</v>
      </c>
      <c r="AO29" s="39">
        <v>-3.6</v>
      </c>
      <c r="AP29" s="39">
        <v>7.1790000000000003</v>
      </c>
      <c r="AQ29" s="39">
        <v>-84.8</v>
      </c>
      <c r="AR29" s="39">
        <v>-87.4</v>
      </c>
      <c r="AS29" s="39">
        <v>-86.6</v>
      </c>
      <c r="AT29" s="39">
        <v>116.4</v>
      </c>
      <c r="AU29" s="39">
        <v>33</v>
      </c>
      <c r="AV29" s="39">
        <v>33.4</v>
      </c>
      <c r="AW29" s="39">
        <v>35.799999999999997</v>
      </c>
    </row>
    <row r="30" spans="2:49" ht="21" customHeight="1" x14ac:dyDescent="0.3">
      <c r="B30" s="8" t="s">
        <v>72</v>
      </c>
      <c r="C30" s="40">
        <f t="shared" ref="C30:AW30" si="8">SUM(C23:C29)</f>
        <v>-801.80000000000041</v>
      </c>
      <c r="D30" s="40">
        <f t="shared" si="8"/>
        <v>-701.50000000000023</v>
      </c>
      <c r="E30" s="40">
        <f t="shared" si="8"/>
        <v>330.9</v>
      </c>
      <c r="F30" s="40">
        <f t="shared" si="8"/>
        <v>-877.4</v>
      </c>
      <c r="G30" s="40">
        <f t="shared" si="8"/>
        <v>-290.79999999999995</v>
      </c>
      <c r="H30" s="40">
        <f t="shared" si="8"/>
        <v>-487.5</v>
      </c>
      <c r="I30" s="40">
        <f t="shared" si="8"/>
        <v>-290.90000000000003</v>
      </c>
      <c r="J30" s="40">
        <f t="shared" si="8"/>
        <v>-2876.9000000000005</v>
      </c>
      <c r="K30" s="40">
        <f t="shared" si="8"/>
        <v>-1355.9</v>
      </c>
      <c r="L30" s="40">
        <f t="shared" si="8"/>
        <v>-1179.5</v>
      </c>
      <c r="M30" s="40">
        <f t="shared" si="8"/>
        <v>-1069.3999999999999</v>
      </c>
      <c r="N30" s="40">
        <f t="shared" si="8"/>
        <v>-1911.5000000000002</v>
      </c>
      <c r="O30" s="40">
        <f t="shared" si="8"/>
        <v>-2051.3000000000002</v>
      </c>
      <c r="P30" s="40">
        <f t="shared" si="8"/>
        <v>-1945</v>
      </c>
      <c r="Q30" s="40">
        <f t="shared" si="8"/>
        <v>-630.20000000000005</v>
      </c>
      <c r="R30" s="40">
        <f t="shared" si="8"/>
        <v>-809.90000000000009</v>
      </c>
      <c r="S30" s="40">
        <f t="shared" si="8"/>
        <v>353.79999999999995</v>
      </c>
      <c r="T30" s="40">
        <f t="shared" si="8"/>
        <v>331</v>
      </c>
      <c r="U30" s="40">
        <f t="shared" si="8"/>
        <v>193.2</v>
      </c>
      <c r="V30" s="40">
        <f t="shared" si="8"/>
        <v>17.100000000000051</v>
      </c>
      <c r="W30" s="40">
        <f t="shared" si="8"/>
        <v>98.200000000000017</v>
      </c>
      <c r="X30" s="40">
        <f t="shared" si="8"/>
        <v>-89.899999999999949</v>
      </c>
      <c r="Y30" s="40">
        <f t="shared" si="8"/>
        <v>-29.400000000000034</v>
      </c>
      <c r="Z30" s="40">
        <f t="shared" si="8"/>
        <v>-1345.2</v>
      </c>
      <c r="AA30" s="40">
        <f t="shared" si="8"/>
        <v>-942.4</v>
      </c>
      <c r="AB30" s="40">
        <f t="shared" si="8"/>
        <v>-933.09999999999991</v>
      </c>
      <c r="AC30" s="40">
        <f t="shared" si="8"/>
        <v>-15.299999999999999</v>
      </c>
      <c r="AD30" s="40">
        <f t="shared" si="8"/>
        <v>-448.20000000000005</v>
      </c>
      <c r="AE30" s="40">
        <f t="shared" si="8"/>
        <v>-417.5</v>
      </c>
      <c r="AF30" s="40">
        <f t="shared" si="8"/>
        <v>-398.59999999999997</v>
      </c>
      <c r="AG30" s="40">
        <f t="shared" si="8"/>
        <v>-120.3</v>
      </c>
      <c r="AH30" s="40">
        <f t="shared" si="8"/>
        <v>-178.10000000000005</v>
      </c>
      <c r="AI30" s="40">
        <f t="shared" si="8"/>
        <v>-238.5</v>
      </c>
      <c r="AJ30" s="40">
        <f t="shared" si="8"/>
        <v>-231</v>
      </c>
      <c r="AK30" s="40">
        <f t="shared" si="8"/>
        <v>-14.4</v>
      </c>
      <c r="AL30" s="40">
        <f t="shared" si="8"/>
        <v>-503.6</v>
      </c>
      <c r="AM30" s="40">
        <f t="shared" si="8"/>
        <v>13</v>
      </c>
      <c r="AN30" s="40">
        <f t="shared" si="8"/>
        <v>-60.599999999999994</v>
      </c>
      <c r="AO30" s="40">
        <f t="shared" si="8"/>
        <v>-37.700000000000003</v>
      </c>
      <c r="AP30" s="40">
        <f t="shared" si="8"/>
        <v>-146.50700000000001</v>
      </c>
      <c r="AQ30" s="40">
        <f t="shared" si="8"/>
        <v>-200.39999999999998</v>
      </c>
      <c r="AR30" s="40">
        <f t="shared" si="8"/>
        <v>-137.5</v>
      </c>
      <c r="AS30" s="40">
        <f t="shared" si="8"/>
        <v>-99.1</v>
      </c>
      <c r="AT30" s="40">
        <f t="shared" si="8"/>
        <v>71</v>
      </c>
      <c r="AU30" s="40">
        <f t="shared" si="8"/>
        <v>12.700000000000003</v>
      </c>
      <c r="AV30" s="40">
        <f t="shared" si="8"/>
        <v>22</v>
      </c>
      <c r="AW30" s="40">
        <f t="shared" si="8"/>
        <v>32.299999999999997</v>
      </c>
    </row>
    <row r="31" spans="2:49" ht="21" customHeight="1" x14ac:dyDescent="0.3">
      <c r="B31" s="5" t="s">
        <v>181</v>
      </c>
      <c r="C31" s="33">
        <v>-1105.0999999999999</v>
      </c>
      <c r="D31" s="33">
        <v>-1104.5999999999999</v>
      </c>
      <c r="E31" s="33">
        <v>-1104.0999999999999</v>
      </c>
      <c r="F31" s="33">
        <v>-374.3</v>
      </c>
      <c r="G31" s="33">
        <v>-1.6</v>
      </c>
      <c r="H31" s="33">
        <v>-1.1000000000000001</v>
      </c>
      <c r="I31" s="33">
        <v>-0.5</v>
      </c>
      <c r="J31" s="33">
        <v>-2.2000000000000002</v>
      </c>
      <c r="K31" s="33">
        <v>-1.6</v>
      </c>
      <c r="L31" s="33">
        <v>-1.1000000000000001</v>
      </c>
      <c r="M31" s="33">
        <v>-0.5</v>
      </c>
      <c r="N31" s="33">
        <v>-1375.6</v>
      </c>
      <c r="O31" s="33">
        <v>-1384</v>
      </c>
      <c r="P31" s="33">
        <v>-1383.5</v>
      </c>
      <c r="Q31" s="33">
        <v>-1382.9</v>
      </c>
      <c r="R31" s="33">
        <v>-248.9</v>
      </c>
      <c r="S31" s="33">
        <v>-248.3</v>
      </c>
      <c r="T31" s="33">
        <v>-247.8</v>
      </c>
      <c r="U31" s="33">
        <v>-247.3</v>
      </c>
      <c r="V31" s="33">
        <v>-2.2000000000000002</v>
      </c>
      <c r="W31" s="33">
        <v>-1.6</v>
      </c>
      <c r="X31" s="33">
        <v>-1.1000000000000001</v>
      </c>
      <c r="Y31" s="33">
        <v>-0.5</v>
      </c>
      <c r="Z31" s="33">
        <v>-2.1</v>
      </c>
      <c r="AA31" s="33">
        <v>-1.6</v>
      </c>
      <c r="AB31" s="33">
        <v>-1.1000000000000001</v>
      </c>
      <c r="AC31" s="33">
        <v>-0.5</v>
      </c>
      <c r="AD31" s="33">
        <v>-34.4</v>
      </c>
      <c r="AE31" s="33">
        <v>-33.9</v>
      </c>
      <c r="AF31" s="33">
        <v>-1</v>
      </c>
      <c r="AG31" s="33">
        <v>-0.5</v>
      </c>
      <c r="AH31" s="33">
        <v>-1.9</v>
      </c>
      <c r="AI31" s="33">
        <v>-1.4</v>
      </c>
      <c r="AJ31" s="33">
        <v>-0.9</v>
      </c>
      <c r="AK31" s="33">
        <v>-0.5</v>
      </c>
      <c r="AL31" s="33">
        <v>-49</v>
      </c>
      <c r="AM31" s="33">
        <v>-6.4</v>
      </c>
      <c r="AN31" s="33">
        <v>-4.2</v>
      </c>
      <c r="AO31" s="33">
        <v>-2.1</v>
      </c>
      <c r="AP31" s="33">
        <v>-7.1050000000000004</v>
      </c>
      <c r="AQ31" s="33">
        <v>-5</v>
      </c>
      <c r="AR31" s="33">
        <v>-4.5</v>
      </c>
      <c r="AS31" s="33">
        <v>-2.2000000000000002</v>
      </c>
      <c r="AT31" s="33">
        <v>-9</v>
      </c>
      <c r="AU31" s="33">
        <v>-6.7</v>
      </c>
      <c r="AV31" s="33">
        <v>-4.4000000000000004</v>
      </c>
      <c r="AW31" s="33">
        <v>-2.2000000000000002</v>
      </c>
    </row>
    <row r="32" spans="2:49" x14ac:dyDescent="0.3">
      <c r="B32" s="5" t="s">
        <v>177</v>
      </c>
      <c r="C32" s="33">
        <v>240</v>
      </c>
      <c r="D32" s="33">
        <v>240</v>
      </c>
      <c r="E32" s="33">
        <v>80</v>
      </c>
      <c r="F32" s="33">
        <v>1003.6</v>
      </c>
      <c r="G32" s="33">
        <v>400</v>
      </c>
      <c r="H32" s="33">
        <v>320</v>
      </c>
      <c r="I32" s="33">
        <v>80</v>
      </c>
      <c r="J32" s="33">
        <v>660</v>
      </c>
      <c r="K32" s="33">
        <v>456.4</v>
      </c>
      <c r="L32" s="33">
        <v>306.7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1372.9</v>
      </c>
      <c r="S32" s="33">
        <v>0</v>
      </c>
      <c r="T32" s="33">
        <v>0</v>
      </c>
      <c r="U32" s="33">
        <v>0</v>
      </c>
      <c r="V32" s="33">
        <v>246.7</v>
      </c>
      <c r="W32" s="33">
        <v>249.1</v>
      </c>
      <c r="X32" s="33">
        <v>288.3</v>
      </c>
      <c r="Y32" s="33">
        <v>110.80000000000001</v>
      </c>
      <c r="Z32" s="33">
        <v>372.2</v>
      </c>
      <c r="AA32" s="33">
        <v>0</v>
      </c>
      <c r="AB32" s="33">
        <v>0</v>
      </c>
      <c r="AC32" s="33">
        <v>0</v>
      </c>
      <c r="AD32" s="33">
        <v>32.4</v>
      </c>
      <c r="AE32" s="33">
        <v>32.5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</row>
    <row r="33" spans="2:49" x14ac:dyDescent="0.3">
      <c r="B33" s="5" t="s">
        <v>197</v>
      </c>
      <c r="C33" s="33">
        <v>-24.1</v>
      </c>
      <c r="D33" s="33">
        <v>-13</v>
      </c>
      <c r="E33" s="33">
        <v>-5.4</v>
      </c>
      <c r="F33" s="33">
        <v>-22</v>
      </c>
      <c r="G33" s="33">
        <v>-16.100000000000001</v>
      </c>
      <c r="H33" s="33">
        <v>-10.4</v>
      </c>
      <c r="I33" s="33">
        <v>-4.7</v>
      </c>
      <c r="J33" s="33">
        <v>-19.600000000000001</v>
      </c>
      <c r="K33" s="33">
        <v>-14.6</v>
      </c>
      <c r="L33" s="33">
        <v>-9.6999999999999993</v>
      </c>
      <c r="M33" s="33">
        <v>-4.9000000000000004</v>
      </c>
      <c r="N33" s="33">
        <v>-17.8</v>
      </c>
      <c r="O33" s="33">
        <v>-13.1</v>
      </c>
      <c r="P33" s="33">
        <v>-8.4</v>
      </c>
      <c r="Q33" s="33">
        <v>-3.5</v>
      </c>
      <c r="R33" s="33">
        <v>-12.9</v>
      </c>
      <c r="S33" s="33">
        <v>-9.6999999999999993</v>
      </c>
      <c r="T33" s="33">
        <v>-6.6</v>
      </c>
      <c r="U33" s="33">
        <v>-3.4</v>
      </c>
      <c r="V33" s="33">
        <v>0</v>
      </c>
      <c r="W33" s="33">
        <v>0</v>
      </c>
      <c r="X33" s="33">
        <v>0</v>
      </c>
      <c r="Y33" s="33">
        <v>0</v>
      </c>
      <c r="Z33" s="33">
        <v>0</v>
      </c>
      <c r="AA33" s="33">
        <v>0</v>
      </c>
      <c r="AB33" s="33">
        <v>0</v>
      </c>
      <c r="AC33" s="33">
        <v>0</v>
      </c>
      <c r="AD33" s="33">
        <v>0</v>
      </c>
      <c r="AE33" s="33">
        <v>0</v>
      </c>
      <c r="AF33" s="33">
        <v>0</v>
      </c>
      <c r="AG33" s="33">
        <v>0</v>
      </c>
      <c r="AH33" s="33">
        <v>0</v>
      </c>
      <c r="AI33" s="33">
        <v>0</v>
      </c>
      <c r="AJ33" s="33">
        <v>0</v>
      </c>
      <c r="AK33" s="33">
        <v>0</v>
      </c>
      <c r="AL33" s="33">
        <v>0</v>
      </c>
      <c r="AM33" s="33">
        <v>0</v>
      </c>
      <c r="AN33" s="33">
        <v>0</v>
      </c>
      <c r="AO33" s="33">
        <v>0</v>
      </c>
      <c r="AP33" s="33">
        <v>0</v>
      </c>
      <c r="AQ33" s="33">
        <v>0</v>
      </c>
      <c r="AR33" s="33">
        <v>0</v>
      </c>
      <c r="AS33" s="33">
        <v>0</v>
      </c>
      <c r="AT33" s="33">
        <v>0</v>
      </c>
      <c r="AU33" s="33">
        <v>0</v>
      </c>
      <c r="AV33" s="33">
        <v>0</v>
      </c>
      <c r="AW33" s="33">
        <v>0</v>
      </c>
    </row>
    <row r="34" spans="2:49" x14ac:dyDescent="0.3">
      <c r="B34" s="5" t="s">
        <v>116</v>
      </c>
      <c r="C34" s="33">
        <v>21.5</v>
      </c>
      <c r="D34" s="33">
        <v>21.5</v>
      </c>
      <c r="E34" s="33">
        <v>13.3</v>
      </c>
      <c r="F34" s="33">
        <v>37.9</v>
      </c>
      <c r="G34" s="33">
        <v>32.1</v>
      </c>
      <c r="H34" s="33">
        <v>1.5</v>
      </c>
      <c r="I34" s="33">
        <v>0.6</v>
      </c>
      <c r="J34" s="33">
        <v>107.2</v>
      </c>
      <c r="K34" s="33">
        <v>100.8</v>
      </c>
      <c r="L34" s="33">
        <v>44.8</v>
      </c>
      <c r="M34" s="33">
        <v>28.2</v>
      </c>
      <c r="N34" s="33">
        <v>15.6</v>
      </c>
      <c r="O34" s="33">
        <v>15.6</v>
      </c>
      <c r="P34" s="33">
        <v>15.6</v>
      </c>
      <c r="Q34" s="33">
        <v>0</v>
      </c>
      <c r="R34" s="33">
        <v>10.3</v>
      </c>
      <c r="S34" s="33">
        <v>10.3</v>
      </c>
      <c r="T34" s="33">
        <v>1.3</v>
      </c>
      <c r="U34" s="33">
        <v>0</v>
      </c>
      <c r="V34" s="33">
        <v>5.4</v>
      </c>
      <c r="W34" s="33">
        <v>5.4</v>
      </c>
      <c r="X34" s="33">
        <v>5.4</v>
      </c>
      <c r="Y34" s="33">
        <v>0</v>
      </c>
      <c r="Z34" s="33">
        <f>40.9-0.1</f>
        <v>40.799999999999997</v>
      </c>
      <c r="AA34" s="33">
        <v>9.8000000000000007</v>
      </c>
      <c r="AB34" s="33">
        <v>9.8000000000000007</v>
      </c>
      <c r="AC34" s="33">
        <v>6.6</v>
      </c>
      <c r="AD34" s="33">
        <v>37.299999999999997</v>
      </c>
      <c r="AE34" s="33">
        <v>8.3000000000000007</v>
      </c>
      <c r="AF34" s="33">
        <v>7.9</v>
      </c>
      <c r="AG34" s="33">
        <v>2.5</v>
      </c>
      <c r="AH34" s="33">
        <v>28.6</v>
      </c>
      <c r="AI34" s="33">
        <v>17.8</v>
      </c>
      <c r="AJ34" s="33">
        <v>16</v>
      </c>
      <c r="AK34" s="33">
        <v>11.7</v>
      </c>
      <c r="AL34" s="33">
        <v>14.3</v>
      </c>
      <c r="AM34" s="33">
        <v>2.1</v>
      </c>
      <c r="AN34" s="33">
        <v>2.1</v>
      </c>
      <c r="AO34" s="33">
        <v>0</v>
      </c>
      <c r="AP34" s="33">
        <v>0</v>
      </c>
      <c r="AQ34" s="33">
        <v>0</v>
      </c>
      <c r="AR34" s="33">
        <v>0</v>
      </c>
      <c r="AS34" s="33">
        <v>0</v>
      </c>
      <c r="AT34" s="33">
        <v>0</v>
      </c>
      <c r="AU34" s="33">
        <v>0</v>
      </c>
      <c r="AV34" s="33">
        <v>0</v>
      </c>
      <c r="AW34" s="33">
        <v>0</v>
      </c>
    </row>
    <row r="35" spans="2:49" x14ac:dyDescent="0.3">
      <c r="B35" s="5" t="s">
        <v>73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0</v>
      </c>
      <c r="AA35" s="33">
        <v>0</v>
      </c>
      <c r="AB35" s="33">
        <v>0</v>
      </c>
      <c r="AC35" s="33">
        <v>0</v>
      </c>
      <c r="AD35" s="33">
        <v>0</v>
      </c>
      <c r="AE35" s="33">
        <v>0</v>
      </c>
      <c r="AF35" s="33">
        <v>0</v>
      </c>
      <c r="AG35" s="33">
        <v>0</v>
      </c>
      <c r="AH35" s="33">
        <v>0</v>
      </c>
      <c r="AI35" s="33">
        <v>0</v>
      </c>
      <c r="AJ35" s="33">
        <v>0</v>
      </c>
      <c r="AK35" s="33">
        <v>0</v>
      </c>
      <c r="AL35" s="33">
        <v>0</v>
      </c>
      <c r="AM35" s="33">
        <v>0</v>
      </c>
      <c r="AN35" s="33">
        <v>0</v>
      </c>
      <c r="AO35" s="33">
        <v>0</v>
      </c>
      <c r="AP35" s="33">
        <v>0</v>
      </c>
      <c r="AQ35" s="33">
        <v>0</v>
      </c>
      <c r="AR35" s="33">
        <v>0</v>
      </c>
      <c r="AS35" s="33">
        <v>0</v>
      </c>
      <c r="AT35" s="33">
        <v>-0.6</v>
      </c>
      <c r="AU35" s="33">
        <v>-0.6</v>
      </c>
      <c r="AV35" s="33">
        <v>-0.4</v>
      </c>
      <c r="AW35" s="33">
        <v>-0.2</v>
      </c>
    </row>
    <row r="36" spans="2:49" x14ac:dyDescent="0.3">
      <c r="B36" s="5" t="s">
        <v>224</v>
      </c>
      <c r="C36" s="33">
        <v>1641.9</v>
      </c>
      <c r="D36" s="33">
        <v>1641.9</v>
      </c>
      <c r="E36" s="33">
        <v>1641.9</v>
      </c>
      <c r="F36" s="33">
        <v>0</v>
      </c>
      <c r="G36" s="33">
        <v>0</v>
      </c>
      <c r="H36" s="33">
        <v>0</v>
      </c>
      <c r="I36" s="33">
        <v>0</v>
      </c>
      <c r="J36" s="33">
        <v>2856.6</v>
      </c>
      <c r="K36" s="33">
        <v>1148.5</v>
      </c>
      <c r="L36" s="33">
        <v>1148.5</v>
      </c>
      <c r="M36" s="33">
        <v>1148.5</v>
      </c>
      <c r="N36" s="33">
        <v>2824.3</v>
      </c>
      <c r="O36" s="33">
        <v>2824.3</v>
      </c>
      <c r="P36" s="33">
        <v>2824.3</v>
      </c>
      <c r="Q36" s="33">
        <v>2824.3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33">
        <v>207.5</v>
      </c>
      <c r="AA36" s="33">
        <v>207.5</v>
      </c>
      <c r="AB36" s="33">
        <v>0</v>
      </c>
      <c r="AC36" s="33">
        <v>0</v>
      </c>
      <c r="AD36" s="33">
        <v>664.8</v>
      </c>
      <c r="AE36" s="33">
        <v>664.8</v>
      </c>
      <c r="AF36" s="33">
        <v>664.8</v>
      </c>
      <c r="AG36" s="33">
        <v>0</v>
      </c>
      <c r="AH36" s="33">
        <v>0</v>
      </c>
      <c r="AI36" s="33">
        <v>0</v>
      </c>
      <c r="AJ36" s="33">
        <v>0</v>
      </c>
      <c r="AK36" s="33">
        <v>0</v>
      </c>
      <c r="AL36" s="33">
        <v>251</v>
      </c>
      <c r="AM36" s="33">
        <v>0</v>
      </c>
      <c r="AN36" s="33">
        <v>0</v>
      </c>
      <c r="AO36" s="33">
        <v>0</v>
      </c>
      <c r="AP36" s="33">
        <v>0</v>
      </c>
      <c r="AQ36" s="33">
        <v>0</v>
      </c>
      <c r="AR36" s="33">
        <v>0</v>
      </c>
      <c r="AS36" s="33">
        <v>0</v>
      </c>
      <c r="AT36" s="33">
        <v>0</v>
      </c>
      <c r="AU36" s="33">
        <v>0</v>
      </c>
      <c r="AV36" s="33">
        <v>0</v>
      </c>
      <c r="AW36" s="33">
        <v>0</v>
      </c>
    </row>
    <row r="37" spans="2:49" x14ac:dyDescent="0.3">
      <c r="B37" s="5" t="s">
        <v>126</v>
      </c>
      <c r="C37" s="33">
        <v>-42.6</v>
      </c>
      <c r="D37" s="33">
        <v>-42.6</v>
      </c>
      <c r="E37" s="33">
        <v>-41.5</v>
      </c>
      <c r="F37" s="33">
        <v>-0.14000000000000001</v>
      </c>
      <c r="G37" s="33">
        <v>-0.1</v>
      </c>
      <c r="H37" s="33">
        <v>-0.1</v>
      </c>
      <c r="I37" s="33">
        <v>0</v>
      </c>
      <c r="J37" s="33">
        <v>-57.4</v>
      </c>
      <c r="K37" s="33">
        <v>-25.6</v>
      </c>
      <c r="L37" s="33">
        <v>-25.6</v>
      </c>
      <c r="M37" s="33">
        <v>-25.2</v>
      </c>
      <c r="N37" s="33">
        <v>-103.2</v>
      </c>
      <c r="O37" s="33">
        <v>-103.2</v>
      </c>
      <c r="P37" s="33">
        <v>-98.7</v>
      </c>
      <c r="Q37" s="33">
        <v>-100</v>
      </c>
      <c r="R37" s="33">
        <v>-2.2000000000000002</v>
      </c>
      <c r="S37" s="33">
        <v>-0.1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-0.7</v>
      </c>
      <c r="AA37" s="33">
        <v>-2.4</v>
      </c>
      <c r="AB37" s="33">
        <v>-0.1</v>
      </c>
      <c r="AC37" s="33">
        <v>0</v>
      </c>
      <c r="AD37" s="33">
        <v>-40.1</v>
      </c>
      <c r="AE37" s="33">
        <v>-40</v>
      </c>
      <c r="AF37" s="33">
        <v>-39</v>
      </c>
      <c r="AG37" s="33">
        <v>0</v>
      </c>
      <c r="AH37" s="33">
        <v>-0.1</v>
      </c>
      <c r="AI37" s="33">
        <v>-0.1</v>
      </c>
      <c r="AJ37" s="33">
        <v>0</v>
      </c>
      <c r="AK37" s="33">
        <v>0</v>
      </c>
      <c r="AL37" s="33">
        <v>-0.1</v>
      </c>
      <c r="AM37" s="33">
        <v>0</v>
      </c>
      <c r="AN37" s="33">
        <v>0</v>
      </c>
      <c r="AO37" s="33">
        <v>0</v>
      </c>
      <c r="AP37" s="33">
        <v>0</v>
      </c>
      <c r="AQ37" s="33">
        <v>0</v>
      </c>
      <c r="AR37" s="33">
        <v>0</v>
      </c>
      <c r="AS37" s="33">
        <v>0</v>
      </c>
      <c r="AT37" s="33">
        <v>0</v>
      </c>
      <c r="AU37" s="33">
        <v>0</v>
      </c>
      <c r="AV37" s="33">
        <v>0</v>
      </c>
      <c r="AW37" s="33">
        <v>0</v>
      </c>
    </row>
    <row r="38" spans="2:49" x14ac:dyDescent="0.3">
      <c r="B38" s="71" t="s">
        <v>225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22.5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33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33">
        <v>0</v>
      </c>
      <c r="AL38" s="33">
        <v>0</v>
      </c>
      <c r="AM38" s="33">
        <v>0</v>
      </c>
      <c r="AN38" s="33">
        <v>0</v>
      </c>
      <c r="AO38" s="33">
        <v>0</v>
      </c>
      <c r="AP38" s="33">
        <v>0</v>
      </c>
      <c r="AQ38" s="33">
        <v>0</v>
      </c>
      <c r="AR38" s="33">
        <v>0</v>
      </c>
      <c r="AS38" s="33">
        <v>0</v>
      </c>
      <c r="AT38" s="33">
        <v>0</v>
      </c>
      <c r="AU38" s="33">
        <v>0</v>
      </c>
      <c r="AV38" s="33">
        <v>0</v>
      </c>
      <c r="AW38" s="33">
        <v>0</v>
      </c>
    </row>
    <row r="39" spans="2:49" x14ac:dyDescent="0.3">
      <c r="B39" s="5" t="s">
        <v>226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2.7</v>
      </c>
      <c r="O39" s="33">
        <v>2.7</v>
      </c>
      <c r="P39" s="33">
        <v>2.7</v>
      </c>
      <c r="Q39" s="33">
        <v>2.7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0</v>
      </c>
      <c r="AA39" s="33">
        <v>0</v>
      </c>
      <c r="AB39" s="33">
        <v>0</v>
      </c>
      <c r="AC39" s="33">
        <v>0</v>
      </c>
      <c r="AD39" s="33">
        <v>0</v>
      </c>
      <c r="AE39" s="33">
        <v>0</v>
      </c>
      <c r="AF39" s="33">
        <v>0</v>
      </c>
      <c r="AG39" s="33"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3">
        <v>0</v>
      </c>
      <c r="AU39" s="33">
        <v>0</v>
      </c>
      <c r="AV39" s="33">
        <v>0</v>
      </c>
      <c r="AW39" s="33">
        <v>0</v>
      </c>
    </row>
    <row r="40" spans="2:49" x14ac:dyDescent="0.3">
      <c r="B40" s="15" t="s">
        <v>155</v>
      </c>
      <c r="C40" s="39">
        <v>-9</v>
      </c>
      <c r="D40" s="39">
        <v>-9</v>
      </c>
      <c r="E40" s="39">
        <v>0</v>
      </c>
      <c r="F40" s="39">
        <v>-9.3000000000000007</v>
      </c>
      <c r="G40" s="39">
        <v>-9.3000000000000007</v>
      </c>
      <c r="H40" s="39">
        <v>-9.3000000000000007</v>
      </c>
      <c r="I40" s="39">
        <v>0</v>
      </c>
      <c r="J40" s="39">
        <v>-8.6</v>
      </c>
      <c r="K40" s="39">
        <v>-8.6</v>
      </c>
      <c r="L40" s="39">
        <v>-8.6</v>
      </c>
      <c r="M40" s="39">
        <v>0</v>
      </c>
      <c r="N40" s="39">
        <v>-11.1</v>
      </c>
      <c r="O40" s="39">
        <v>-11.1</v>
      </c>
      <c r="P40" s="39">
        <v>0</v>
      </c>
      <c r="Q40" s="39">
        <v>0</v>
      </c>
      <c r="R40" s="39">
        <v>-4.5999999999999996</v>
      </c>
      <c r="S40" s="39">
        <v>-4.5999999999999996</v>
      </c>
      <c r="T40" s="39">
        <v>-4.5999999999999996</v>
      </c>
      <c r="U40" s="39">
        <v>0</v>
      </c>
      <c r="V40" s="39">
        <v>-4.0999999999999996</v>
      </c>
      <c r="W40" s="39">
        <v>0</v>
      </c>
      <c r="X40" s="39">
        <v>0</v>
      </c>
      <c r="Y40" s="39">
        <v>0</v>
      </c>
      <c r="Z40" s="39">
        <v>-4.3</v>
      </c>
      <c r="AA40" s="39">
        <v>-4.3</v>
      </c>
      <c r="AB40" s="74">
        <v>-4.3</v>
      </c>
      <c r="AC40" s="74">
        <v>0</v>
      </c>
      <c r="AD40" s="74">
        <v>-2.8</v>
      </c>
      <c r="AE40" s="74">
        <v>-2.8</v>
      </c>
      <c r="AF40" s="39">
        <v>-2.8</v>
      </c>
      <c r="AG40" s="39">
        <v>0</v>
      </c>
      <c r="AH40" s="39">
        <v>0</v>
      </c>
      <c r="AI40" s="39">
        <v>0</v>
      </c>
      <c r="AJ40" s="39">
        <v>0</v>
      </c>
      <c r="AK40" s="39">
        <v>0</v>
      </c>
      <c r="AL40" s="39">
        <v>0</v>
      </c>
      <c r="AM40" s="39">
        <v>0</v>
      </c>
      <c r="AN40" s="39">
        <v>0</v>
      </c>
      <c r="AO40" s="39">
        <v>0</v>
      </c>
      <c r="AP40" s="39">
        <v>0</v>
      </c>
      <c r="AQ40" s="39">
        <v>0</v>
      </c>
      <c r="AR40" s="39">
        <v>0</v>
      </c>
      <c r="AS40" s="39">
        <v>0</v>
      </c>
      <c r="AT40" s="39">
        <v>0</v>
      </c>
      <c r="AU40" s="39">
        <v>0</v>
      </c>
      <c r="AV40" s="39">
        <v>0</v>
      </c>
      <c r="AW40" s="39">
        <v>0</v>
      </c>
    </row>
    <row r="41" spans="2:49" ht="21" customHeight="1" x14ac:dyDescent="0.3">
      <c r="B41" s="8" t="s">
        <v>74</v>
      </c>
      <c r="C41" s="40">
        <f t="shared" ref="C41:D41" si="9">SUM(C31:C40)</f>
        <v>722.60000000000014</v>
      </c>
      <c r="D41" s="40">
        <f t="shared" si="9"/>
        <v>734.20000000000016</v>
      </c>
      <c r="E41" s="40">
        <f t="shared" ref="E41:F41" si="10">SUM(E31:E40)</f>
        <v>584.20000000000005</v>
      </c>
      <c r="F41" s="40">
        <f t="shared" si="10"/>
        <v>635.76</v>
      </c>
      <c r="G41" s="40">
        <f t="shared" ref="G41:H41" si="11">SUM(G31:G40)</f>
        <v>404.99999999999994</v>
      </c>
      <c r="H41" s="40">
        <f t="shared" si="11"/>
        <v>300.59999999999997</v>
      </c>
      <c r="I41" s="40">
        <f t="shared" ref="I41:AC41" si="12">SUM(I31:I40)</f>
        <v>75.399999999999991</v>
      </c>
      <c r="J41" s="40">
        <f t="shared" si="12"/>
        <v>3536</v>
      </c>
      <c r="K41" s="40">
        <f t="shared" si="12"/>
        <v>1655.3000000000002</v>
      </c>
      <c r="L41" s="40">
        <f t="shared" si="12"/>
        <v>1455.0000000000002</v>
      </c>
      <c r="M41" s="40">
        <f t="shared" si="12"/>
        <v>1146.0999999999999</v>
      </c>
      <c r="N41" s="40">
        <f t="shared" si="12"/>
        <v>1334.9000000000003</v>
      </c>
      <c r="O41" s="40">
        <f t="shared" si="12"/>
        <v>1331.2000000000003</v>
      </c>
      <c r="P41" s="40">
        <f t="shared" si="12"/>
        <v>1352</v>
      </c>
      <c r="Q41" s="40">
        <f t="shared" si="12"/>
        <v>1363.1000000000001</v>
      </c>
      <c r="R41" s="40">
        <f t="shared" si="12"/>
        <v>1114.5999999999999</v>
      </c>
      <c r="S41" s="40">
        <f t="shared" si="12"/>
        <v>-252.39999999999998</v>
      </c>
      <c r="T41" s="40">
        <f t="shared" si="12"/>
        <v>-257.7</v>
      </c>
      <c r="U41" s="40">
        <f t="shared" si="12"/>
        <v>-250.70000000000002</v>
      </c>
      <c r="V41" s="40">
        <f t="shared" si="12"/>
        <v>245.8</v>
      </c>
      <c r="W41" s="40">
        <f t="shared" si="12"/>
        <v>252.9</v>
      </c>
      <c r="X41" s="40">
        <f t="shared" si="12"/>
        <v>292.59999999999997</v>
      </c>
      <c r="Y41" s="40">
        <f t="shared" si="12"/>
        <v>110.30000000000001</v>
      </c>
      <c r="Z41" s="40">
        <f t="shared" si="12"/>
        <v>613.4</v>
      </c>
      <c r="AA41" s="40">
        <f t="shared" si="12"/>
        <v>208.99999999999997</v>
      </c>
      <c r="AB41" s="40">
        <f t="shared" si="12"/>
        <v>4.3000000000000016</v>
      </c>
      <c r="AC41" s="40">
        <f t="shared" si="12"/>
        <v>6.1</v>
      </c>
      <c r="AD41" s="40">
        <v>657.19999999999993</v>
      </c>
      <c r="AE41" s="40">
        <v>628.9</v>
      </c>
      <c r="AF41" s="40">
        <v>629.9</v>
      </c>
      <c r="AG41" s="40">
        <v>2</v>
      </c>
      <c r="AH41" s="40">
        <v>26.6</v>
      </c>
      <c r="AI41" s="40">
        <v>16.3</v>
      </c>
      <c r="AJ41" s="40">
        <v>15.1</v>
      </c>
      <c r="AK41" s="40">
        <v>11.2</v>
      </c>
      <c r="AL41" s="40">
        <v>216.20000000000002</v>
      </c>
      <c r="AM41" s="40">
        <v>-4.3000000000000007</v>
      </c>
      <c r="AN41" s="40">
        <v>-2.1</v>
      </c>
      <c r="AO41" s="40">
        <v>-2.1</v>
      </c>
      <c r="AP41" s="40">
        <v>-7.1050000000000004</v>
      </c>
      <c r="AQ41" s="40">
        <v>-5</v>
      </c>
      <c r="AR41" s="40">
        <v>-4.5</v>
      </c>
      <c r="AS41" s="40">
        <v>-2.2000000000000002</v>
      </c>
      <c r="AT41" s="40">
        <v>-9.6</v>
      </c>
      <c r="AU41" s="40">
        <v>-7.3</v>
      </c>
      <c r="AV41" s="40">
        <v>-4.8000000000000007</v>
      </c>
      <c r="AW41" s="40">
        <v>-2.4000000000000004</v>
      </c>
    </row>
    <row r="42" spans="2:49" ht="21" customHeight="1" x14ac:dyDescent="0.3">
      <c r="B42" s="8" t="s">
        <v>75</v>
      </c>
      <c r="C42" s="40">
        <f t="shared" ref="C42:AC42" si="13">+C22+C30+C41</f>
        <v>454.59999999999991</v>
      </c>
      <c r="D42" s="40">
        <f t="shared" si="13"/>
        <v>260.49999999999955</v>
      </c>
      <c r="E42" s="40">
        <f t="shared" si="13"/>
        <v>700.39999999999986</v>
      </c>
      <c r="F42" s="40">
        <f t="shared" si="13"/>
        <v>-21.53999999999985</v>
      </c>
      <c r="G42" s="40">
        <f t="shared" si="13"/>
        <v>116.80000000000001</v>
      </c>
      <c r="H42" s="40">
        <f t="shared" si="13"/>
        <v>-306.7</v>
      </c>
      <c r="I42" s="40">
        <f t="shared" si="13"/>
        <v>-191.70000000000005</v>
      </c>
      <c r="J42" s="40">
        <f t="shared" si="13"/>
        <v>300.59999999999991</v>
      </c>
      <c r="K42" s="40">
        <f t="shared" si="13"/>
        <v>52.299999999999955</v>
      </c>
      <c r="L42" s="40">
        <f t="shared" si="13"/>
        <v>-101.79999999999995</v>
      </c>
      <c r="M42" s="40">
        <f t="shared" si="13"/>
        <v>-42.799999999999955</v>
      </c>
      <c r="N42" s="40">
        <f t="shared" si="13"/>
        <v>-4.6999999999995907</v>
      </c>
      <c r="O42" s="40">
        <f t="shared" si="13"/>
        <v>267.5</v>
      </c>
      <c r="P42" s="40">
        <f t="shared" si="13"/>
        <v>79.300000000000182</v>
      </c>
      <c r="Q42" s="40">
        <f t="shared" si="13"/>
        <v>1165</v>
      </c>
      <c r="R42" s="40">
        <f t="shared" si="13"/>
        <v>28.799999999999727</v>
      </c>
      <c r="S42" s="40">
        <f t="shared" si="13"/>
        <v>-167.5</v>
      </c>
      <c r="T42" s="40">
        <f t="shared" si="13"/>
        <v>-153.10000000000002</v>
      </c>
      <c r="U42" s="40">
        <f t="shared" si="13"/>
        <v>-128.30000000000007</v>
      </c>
      <c r="V42" s="40">
        <f t="shared" si="13"/>
        <v>-25.599999999999966</v>
      </c>
      <c r="W42" s="40">
        <f t="shared" si="13"/>
        <v>55.900000000000034</v>
      </c>
      <c r="X42" s="40">
        <f t="shared" si="13"/>
        <v>-108.69999999999999</v>
      </c>
      <c r="Y42" s="40">
        <f t="shared" si="13"/>
        <v>-125.99999999999997</v>
      </c>
      <c r="Z42" s="40">
        <f t="shared" si="13"/>
        <v>-515.70000000000016</v>
      </c>
      <c r="AA42" s="40">
        <f t="shared" si="13"/>
        <v>-345.30000000000018</v>
      </c>
      <c r="AB42" s="40">
        <f t="shared" si="13"/>
        <v>-460.39999999999981</v>
      </c>
      <c r="AC42" s="40">
        <f t="shared" si="13"/>
        <v>157.89999999999998</v>
      </c>
      <c r="AD42" s="40">
        <v>476.59999999999997</v>
      </c>
      <c r="AE42" s="40">
        <v>-162.70000000000005</v>
      </c>
      <c r="AF42" s="40">
        <v>86.800000000000068</v>
      </c>
      <c r="AG42" s="40">
        <v>-184.99999999999997</v>
      </c>
      <c r="AH42" s="40">
        <v>-46.200000000000067</v>
      </c>
      <c r="AI42" s="40">
        <v>47.8</v>
      </c>
      <c r="AJ42" s="40">
        <v>90.4</v>
      </c>
      <c r="AK42" s="40">
        <v>596.20000000000005</v>
      </c>
      <c r="AL42" s="40">
        <v>51.299999999999926</v>
      </c>
      <c r="AM42" s="40">
        <v>-201.00000000000003</v>
      </c>
      <c r="AN42" s="40">
        <v>-232.2</v>
      </c>
      <c r="AO42" s="40">
        <v>-119.6</v>
      </c>
      <c r="AP42" s="40">
        <v>-6.5280000000000591</v>
      </c>
      <c r="AQ42" s="40">
        <v>-204.59999999999997</v>
      </c>
      <c r="AR42" s="40">
        <v>-59.5</v>
      </c>
      <c r="AS42" s="40">
        <v>-214.2</v>
      </c>
      <c r="AT42" s="40">
        <v>81.500000000000085</v>
      </c>
      <c r="AU42" s="40">
        <v>-5.7000000000000766</v>
      </c>
      <c r="AV42" s="40">
        <v>-40.200000000000045</v>
      </c>
      <c r="AW42" s="40">
        <v>-18.499999999999993</v>
      </c>
    </row>
    <row r="43" spans="2:49" ht="21" customHeight="1" x14ac:dyDescent="0.3">
      <c r="B43" s="5" t="s">
        <v>76</v>
      </c>
      <c r="C43" s="33">
        <f>+$F$45</f>
        <v>575.3599999999999</v>
      </c>
      <c r="D43" s="33">
        <f>+$F$45</f>
        <v>575.3599999999999</v>
      </c>
      <c r="E43" s="33">
        <f>+$F$45</f>
        <v>575.3599999999999</v>
      </c>
      <c r="F43" s="33">
        <f>+$J$45</f>
        <v>591.79999999999973</v>
      </c>
      <c r="G43" s="33">
        <f>+$J$45</f>
        <v>591.79999999999973</v>
      </c>
      <c r="H43" s="33">
        <f>+$J$45</f>
        <v>591.79999999999973</v>
      </c>
      <c r="I43" s="33">
        <f>+$J$45</f>
        <v>591.79999999999973</v>
      </c>
      <c r="J43" s="33">
        <f>+$N$45</f>
        <v>285.49999999999983</v>
      </c>
      <c r="K43" s="33">
        <f>+$N$45</f>
        <v>285.49999999999983</v>
      </c>
      <c r="L43" s="33">
        <f>+$N$45</f>
        <v>285.49999999999983</v>
      </c>
      <c r="M43" s="33">
        <f>+$N$45</f>
        <v>285.49999999999983</v>
      </c>
      <c r="N43" s="33">
        <f>+$R$45</f>
        <v>297.49999999999943</v>
      </c>
      <c r="O43" s="33">
        <f>+$R$45</f>
        <v>297.49999999999943</v>
      </c>
      <c r="P43" s="33">
        <f>+$R$45</f>
        <v>297.49999999999943</v>
      </c>
      <c r="Q43" s="33">
        <f>+$R$45</f>
        <v>297.49999999999943</v>
      </c>
      <c r="R43" s="33">
        <f>+$V$45</f>
        <v>266.6999999999997</v>
      </c>
      <c r="S43" s="33">
        <f>+$V$45</f>
        <v>266.6999999999997</v>
      </c>
      <c r="T43" s="33">
        <f>+$V$45</f>
        <v>266.6999999999997</v>
      </c>
      <c r="U43" s="33">
        <f>+$V$45</f>
        <v>266.6999999999997</v>
      </c>
      <c r="V43" s="33">
        <f>+$Z$45</f>
        <v>282.49999999999966</v>
      </c>
      <c r="W43" s="33">
        <f>+$Z$45</f>
        <v>282.49999999999966</v>
      </c>
      <c r="X43" s="33">
        <f>+$Z$45</f>
        <v>282.49999999999966</v>
      </c>
      <c r="Y43" s="33">
        <f>+$Z$45</f>
        <v>282.49999999999966</v>
      </c>
      <c r="Z43" s="33">
        <f>+$AD$45</f>
        <v>853.5999999999998</v>
      </c>
      <c r="AA43" s="33">
        <f>+$AD$45</f>
        <v>853.5999999999998</v>
      </c>
      <c r="AB43" s="33">
        <f>+$AD$45</f>
        <v>853.5999999999998</v>
      </c>
      <c r="AC43" s="33">
        <f>+$AD$45</f>
        <v>853.5999999999998</v>
      </c>
      <c r="AD43" s="33">
        <v>374.09999999999991</v>
      </c>
      <c r="AE43" s="33">
        <v>374.09999999999991</v>
      </c>
      <c r="AF43" s="33">
        <v>374.09999999999991</v>
      </c>
      <c r="AG43" s="33">
        <v>374.09999999999991</v>
      </c>
      <c r="AH43" s="33">
        <v>398.4</v>
      </c>
      <c r="AI43" s="33">
        <v>398.4</v>
      </c>
      <c r="AJ43" s="33">
        <v>398.35399999999998</v>
      </c>
      <c r="AK43" s="33">
        <v>398.35399999999998</v>
      </c>
      <c r="AL43" s="33">
        <v>346.75400000000002</v>
      </c>
      <c r="AM43" s="33">
        <v>346.75400000000002</v>
      </c>
      <c r="AN43" s="33">
        <v>346.75400000000002</v>
      </c>
      <c r="AO43" s="33">
        <v>346.75400000000002</v>
      </c>
      <c r="AP43" s="33">
        <v>353.50000000000011</v>
      </c>
      <c r="AQ43" s="33">
        <v>353.50000000000011</v>
      </c>
      <c r="AR43" s="33">
        <v>353.5</v>
      </c>
      <c r="AS43" s="33">
        <v>353.5</v>
      </c>
      <c r="AT43" s="33">
        <v>272.10000000000002</v>
      </c>
      <c r="AU43" s="33">
        <v>272.10000000000002</v>
      </c>
      <c r="AV43" s="33">
        <v>272.10000000000002</v>
      </c>
      <c r="AW43" s="33">
        <v>272.10000000000002</v>
      </c>
    </row>
    <row r="44" spans="2:49" x14ac:dyDescent="0.3">
      <c r="B44" s="15" t="s">
        <v>77</v>
      </c>
      <c r="C44" s="39">
        <v>2.2000000000000002</v>
      </c>
      <c r="D44" s="39">
        <v>-4</v>
      </c>
      <c r="E44" s="39">
        <v>-4.0999999999999996</v>
      </c>
      <c r="F44" s="39">
        <v>5.0999999999999996</v>
      </c>
      <c r="G44" s="39">
        <v>10</v>
      </c>
      <c r="H44" s="39">
        <v>5.6999999999999993</v>
      </c>
      <c r="I44" s="39">
        <v>1.3</v>
      </c>
      <c r="J44" s="39">
        <v>5.7</v>
      </c>
      <c r="K44" s="39">
        <v>3.9999999999999996</v>
      </c>
      <c r="L44" s="39">
        <v>2.2000000000000002</v>
      </c>
      <c r="M44" s="39">
        <v>3.1</v>
      </c>
      <c r="N44" s="39">
        <v>-7.3</v>
      </c>
      <c r="O44" s="39">
        <v>-3.6</v>
      </c>
      <c r="P44" s="39">
        <v>0.1</v>
      </c>
      <c r="Q44" s="39">
        <v>2.1</v>
      </c>
      <c r="R44" s="39">
        <v>2</v>
      </c>
      <c r="S44" s="39">
        <v>5.4</v>
      </c>
      <c r="T44" s="39">
        <v>0.6</v>
      </c>
      <c r="U44" s="39">
        <v>1.9</v>
      </c>
      <c r="V44" s="39">
        <f>9.7+0.1</f>
        <v>9.7999999999999989</v>
      </c>
      <c r="W44" s="39">
        <v>7.3</v>
      </c>
      <c r="X44" s="39">
        <v>5.8</v>
      </c>
      <c r="Y44" s="39">
        <v>-6.1999999999999993</v>
      </c>
      <c r="Z44" s="39">
        <v>-55.4</v>
      </c>
      <c r="AA44" s="39">
        <v>-49.1</v>
      </c>
      <c r="AB44" s="39">
        <v>-35.1</v>
      </c>
      <c r="AC44" s="39">
        <v>-6.3</v>
      </c>
      <c r="AD44" s="39">
        <v>2.9</v>
      </c>
      <c r="AE44" s="39">
        <v>-2.1</v>
      </c>
      <c r="AF44" s="39">
        <v>-1.7</v>
      </c>
      <c r="AG44" s="39">
        <v>-4.0999999999999996</v>
      </c>
      <c r="AH44" s="39">
        <v>21.9</v>
      </c>
      <c r="AI44" s="39">
        <v>16.099999999999998</v>
      </c>
      <c r="AJ44" s="39">
        <v>16.399999999999999</v>
      </c>
      <c r="AK44" s="39">
        <v>24.7</v>
      </c>
      <c r="AL44" s="39">
        <v>0.3</v>
      </c>
      <c r="AM44" s="39">
        <v>0.2</v>
      </c>
      <c r="AN44" s="39">
        <v>0</v>
      </c>
      <c r="AO44" s="39">
        <v>0</v>
      </c>
      <c r="AP44" s="39">
        <v>-0.218</v>
      </c>
      <c r="AQ44" s="39">
        <v>-0.1</v>
      </c>
      <c r="AR44" s="39">
        <v>0</v>
      </c>
      <c r="AS44" s="39">
        <v>0.2</v>
      </c>
      <c r="AT44" s="39">
        <v>-0.1</v>
      </c>
      <c r="AU44" s="39">
        <v>0</v>
      </c>
      <c r="AV44" s="39">
        <v>0.1</v>
      </c>
      <c r="AW44" s="39">
        <v>0</v>
      </c>
    </row>
    <row r="45" spans="2:49" ht="21" customHeight="1" x14ac:dyDescent="0.3">
      <c r="B45" s="8" t="s">
        <v>78</v>
      </c>
      <c r="C45" s="40">
        <f t="shared" ref="C45:D45" si="14">SUM(C42:C44)</f>
        <v>1032.1599999999999</v>
      </c>
      <c r="D45" s="40">
        <f t="shared" si="14"/>
        <v>831.85999999999945</v>
      </c>
      <c r="E45" s="40">
        <f t="shared" ref="E45:F45" si="15">SUM(E42:E44)</f>
        <v>1271.6599999999999</v>
      </c>
      <c r="F45" s="40">
        <f t="shared" si="15"/>
        <v>575.3599999999999</v>
      </c>
      <c r="G45" s="40">
        <f t="shared" ref="G45:H45" si="16">SUM(G42:G44)</f>
        <v>718.59999999999968</v>
      </c>
      <c r="H45" s="40">
        <f t="shared" si="16"/>
        <v>290.79999999999973</v>
      </c>
      <c r="I45" s="40">
        <f t="shared" ref="I45:AA45" si="17">SUM(I42:I44)</f>
        <v>401.39999999999969</v>
      </c>
      <c r="J45" s="40">
        <f t="shared" si="17"/>
        <v>591.79999999999973</v>
      </c>
      <c r="K45" s="40">
        <f t="shared" si="17"/>
        <v>341.79999999999978</v>
      </c>
      <c r="L45" s="40">
        <f t="shared" si="17"/>
        <v>185.89999999999986</v>
      </c>
      <c r="M45" s="40">
        <f t="shared" si="17"/>
        <v>245.79999999999987</v>
      </c>
      <c r="N45" s="40">
        <f t="shared" si="17"/>
        <v>285.49999999999983</v>
      </c>
      <c r="O45" s="40">
        <f t="shared" si="17"/>
        <v>561.39999999999941</v>
      </c>
      <c r="P45" s="40">
        <f t="shared" si="17"/>
        <v>376.89999999999964</v>
      </c>
      <c r="Q45" s="40">
        <f t="shared" si="17"/>
        <v>1464.5999999999995</v>
      </c>
      <c r="R45" s="40">
        <f t="shared" si="17"/>
        <v>297.49999999999943</v>
      </c>
      <c r="S45" s="40">
        <f t="shared" si="17"/>
        <v>104.59999999999971</v>
      </c>
      <c r="T45" s="40">
        <f t="shared" si="17"/>
        <v>114.19999999999968</v>
      </c>
      <c r="U45" s="40">
        <f t="shared" si="17"/>
        <v>140.29999999999964</v>
      </c>
      <c r="V45" s="40">
        <f t="shared" si="17"/>
        <v>266.6999999999997</v>
      </c>
      <c r="W45" s="40">
        <f t="shared" si="17"/>
        <v>345.6999999999997</v>
      </c>
      <c r="X45" s="40">
        <f t="shared" si="17"/>
        <v>179.59999999999968</v>
      </c>
      <c r="Y45" s="40">
        <f t="shared" si="17"/>
        <v>150.2999999999997</v>
      </c>
      <c r="Z45" s="40">
        <f t="shared" si="17"/>
        <v>282.49999999999966</v>
      </c>
      <c r="AA45" s="40">
        <f t="shared" si="17"/>
        <v>459.19999999999959</v>
      </c>
      <c r="AB45" s="40">
        <f t="shared" ref="AB45:AC45" si="18">SUM(AB42:AB44)</f>
        <v>358.09999999999997</v>
      </c>
      <c r="AC45" s="40">
        <f t="shared" si="18"/>
        <v>1005.1999999999998</v>
      </c>
      <c r="AD45" s="40">
        <v>853.5999999999998</v>
      </c>
      <c r="AE45" s="40">
        <v>209.29999999999987</v>
      </c>
      <c r="AF45" s="40">
        <v>459.2</v>
      </c>
      <c r="AG45" s="40">
        <v>184.99999999999994</v>
      </c>
      <c r="AH45" s="40">
        <v>374.09999999999991</v>
      </c>
      <c r="AI45" s="40">
        <v>462.3</v>
      </c>
      <c r="AJ45" s="40">
        <v>505.154</v>
      </c>
      <c r="AK45" s="40">
        <v>1019.2540000000001</v>
      </c>
      <c r="AL45" s="40">
        <v>398.35399999999998</v>
      </c>
      <c r="AM45" s="40">
        <v>145.95399999999998</v>
      </c>
      <c r="AN45" s="40">
        <v>114.55400000000003</v>
      </c>
      <c r="AO45" s="40">
        <v>227.15400000000002</v>
      </c>
      <c r="AP45" s="40">
        <v>346.75400000000002</v>
      </c>
      <c r="AQ45" s="40">
        <v>148.80000000000015</v>
      </c>
      <c r="AR45" s="40">
        <v>294</v>
      </c>
      <c r="AS45" s="40">
        <v>139.5</v>
      </c>
      <c r="AT45" s="40">
        <v>353.50000000000011</v>
      </c>
      <c r="AU45" s="40">
        <v>266.39999999999992</v>
      </c>
      <c r="AV45" s="40">
        <v>231.99999999999997</v>
      </c>
      <c r="AW45" s="40">
        <v>253.60000000000002</v>
      </c>
    </row>
    <row r="46" spans="2:49" ht="21" customHeight="1" x14ac:dyDescent="0.3">
      <c r="B46" s="5" t="s">
        <v>79</v>
      </c>
      <c r="C46" s="33">
        <f>+'BS 2012 - 2023'!C34</f>
        <v>474.1</v>
      </c>
      <c r="D46" s="33">
        <f>+'BS 2012 - 2023'!D34</f>
        <v>553.1</v>
      </c>
      <c r="E46" s="33">
        <f>+'BS 2012 - 2023'!E34</f>
        <v>1699.4</v>
      </c>
      <c r="F46" s="33">
        <f>+'BS 2012 - 2023'!F34</f>
        <v>2269.8000000000002</v>
      </c>
      <c r="G46" s="33">
        <f>+'BS 2012 - 2023'!G34</f>
        <v>2522.9</v>
      </c>
      <c r="H46" s="33">
        <f>+'BS 2012 - 2023'!H34</f>
        <v>2962.6</v>
      </c>
      <c r="I46" s="33">
        <f>+'BS 2012 - 2023'!I34</f>
        <v>3045.7</v>
      </c>
      <c r="J46" s="33">
        <f>+'BS 2012 - 2023'!J34</f>
        <v>3124.8</v>
      </c>
      <c r="K46" s="33">
        <f>+'BS 2012 - 2023'!K34</f>
        <v>2296.1999999999998</v>
      </c>
      <c r="L46" s="33">
        <f>+'BS 2012 - 2023'!L34</f>
        <v>2327.5</v>
      </c>
      <c r="M46" s="33">
        <f>+'BS 2012 - 2023'!M34</f>
        <v>2342.8000000000002</v>
      </c>
      <c r="N46" s="33">
        <f>+'BS 2012 - 2023'!N34</f>
        <v>1384.1</v>
      </c>
      <c r="O46" s="33">
        <f>+'BS 2012 - 2023'!O34</f>
        <v>2007.7</v>
      </c>
      <c r="P46" s="33">
        <f>+'BS 2012 - 2023'!P34</f>
        <v>2003</v>
      </c>
      <c r="Q46" s="33">
        <f>+'BS 2012 - 2023'!Q34</f>
        <v>740.6</v>
      </c>
      <c r="R46" s="33">
        <f>+'BS 2012 - 2023'!R34</f>
        <v>174.8</v>
      </c>
      <c r="S46" s="33">
        <f>+'BS 2012 - 2023'!S34</f>
        <v>1391</v>
      </c>
      <c r="T46" s="33">
        <f>+'BS 2012 - 2023'!T34</f>
        <v>1523.5</v>
      </c>
      <c r="U46" s="33">
        <f>+'BS 2012 - 2023'!U34</f>
        <v>1787.5</v>
      </c>
      <c r="V46" s="33">
        <f>+'BS 2012 - 2023'!V34</f>
        <v>2050.5</v>
      </c>
      <c r="W46" s="33">
        <v>2061.8000000000002</v>
      </c>
      <c r="X46" s="33">
        <v>2300.1999999999998</v>
      </c>
      <c r="Y46" s="33">
        <v>2295.6</v>
      </c>
      <c r="Z46" s="33">
        <v>2301.1999999999998</v>
      </c>
      <c r="AA46" s="33">
        <v>1957</v>
      </c>
      <c r="AB46" s="33">
        <v>1954.3</v>
      </c>
      <c r="AC46" s="33">
        <v>1051.2</v>
      </c>
      <c r="AD46" s="33">
        <v>1046.3</v>
      </c>
      <c r="AE46" s="33">
        <v>1045.2</v>
      </c>
      <c r="AF46" s="33">
        <v>1042.8</v>
      </c>
      <c r="AG46" s="33">
        <v>787</v>
      </c>
      <c r="AH46" s="33">
        <v>684.1</v>
      </c>
      <c r="AI46" s="33">
        <v>771.6</v>
      </c>
      <c r="AJ46" s="33">
        <v>779.8</v>
      </c>
      <c r="AK46" s="33">
        <v>588.20000000000005</v>
      </c>
      <c r="AL46" s="33">
        <v>581.29999999999995</v>
      </c>
      <c r="AM46" s="33">
        <v>90.1</v>
      </c>
      <c r="AN46" s="33">
        <v>187.9</v>
      </c>
      <c r="AO46" s="33">
        <v>187.7</v>
      </c>
      <c r="AP46" s="33">
        <v>185.28200000000001</v>
      </c>
      <c r="AQ46" s="33">
        <v>277.2</v>
      </c>
      <c r="AR46" s="33">
        <v>280.60000000000002</v>
      </c>
      <c r="AS46" s="33">
        <v>283.5</v>
      </c>
      <c r="AT46" s="33">
        <v>196.4</v>
      </c>
      <c r="AU46" s="33">
        <v>280</v>
      </c>
      <c r="AV46" s="33">
        <v>279.3</v>
      </c>
      <c r="AW46" s="33">
        <v>275.3</v>
      </c>
    </row>
    <row r="47" spans="2:49" x14ac:dyDescent="0.3">
      <c r="B47" s="5" t="s">
        <v>80</v>
      </c>
      <c r="C47" s="33">
        <v>20</v>
      </c>
      <c r="D47" s="33">
        <v>20</v>
      </c>
      <c r="E47" s="33">
        <v>20</v>
      </c>
      <c r="F47" s="33">
        <v>20</v>
      </c>
      <c r="G47" s="33">
        <v>20</v>
      </c>
      <c r="H47" s="33">
        <v>20</v>
      </c>
      <c r="I47" s="33">
        <v>20</v>
      </c>
      <c r="J47" s="33">
        <v>243.1</v>
      </c>
      <c r="K47" s="33">
        <v>243.1</v>
      </c>
      <c r="L47" s="33">
        <v>243.1</v>
      </c>
      <c r="M47" s="33">
        <v>243.1</v>
      </c>
      <c r="N47" s="33">
        <f>20+(30*7.4409)</f>
        <v>243.227</v>
      </c>
      <c r="O47" s="33">
        <v>243.3</v>
      </c>
      <c r="P47" s="33">
        <v>243.9</v>
      </c>
      <c r="Q47" s="33">
        <f>ROUND(20+30*7.4697,1)</f>
        <v>244.1</v>
      </c>
      <c r="R47" s="33">
        <f>ROUND(20+30*7.4697,1)</f>
        <v>244.1</v>
      </c>
      <c r="S47" s="33">
        <v>244</v>
      </c>
      <c r="T47" s="33">
        <f>ROUND(20+30*7.4636-0.3,1)+0.2</f>
        <v>243.79999999999998</v>
      </c>
      <c r="U47" s="33">
        <f>ROUND(20+30*7.4652-0.3,1)</f>
        <v>243.7</v>
      </c>
      <c r="V47" s="33">
        <f>20+30*7.4673</f>
        <v>244.01900000000001</v>
      </c>
      <c r="W47" s="33">
        <v>243.7</v>
      </c>
      <c r="X47" s="33">
        <v>20</v>
      </c>
      <c r="Y47" s="33">
        <v>20</v>
      </c>
      <c r="Z47" s="33">
        <v>19.7</v>
      </c>
      <c r="AA47" s="33">
        <v>392.1</v>
      </c>
      <c r="AB47" s="33">
        <v>391.8</v>
      </c>
      <c r="AC47" s="33">
        <v>391.9</v>
      </c>
      <c r="AD47" s="33">
        <v>391.72</v>
      </c>
      <c r="AE47" s="33">
        <v>392.6</v>
      </c>
      <c r="AF47" s="33">
        <v>392</v>
      </c>
      <c r="AG47" s="33">
        <v>392.6</v>
      </c>
      <c r="AH47" s="33">
        <v>393</v>
      </c>
      <c r="AI47" s="33">
        <v>398.4</v>
      </c>
      <c r="AJ47" s="33">
        <v>384</v>
      </c>
      <c r="AK47" s="33">
        <v>11</v>
      </c>
      <c r="AL47" s="33">
        <v>20</v>
      </c>
      <c r="AM47" s="33">
        <v>120</v>
      </c>
      <c r="AN47" s="33">
        <v>120</v>
      </c>
      <c r="AO47" s="33">
        <v>120</v>
      </c>
      <c r="AP47" s="33">
        <v>120</v>
      </c>
      <c r="AQ47" s="33">
        <v>120</v>
      </c>
      <c r="AR47" s="33">
        <v>120</v>
      </c>
      <c r="AS47" s="33">
        <v>120</v>
      </c>
      <c r="AT47" s="33">
        <v>120</v>
      </c>
      <c r="AU47" s="33">
        <v>120</v>
      </c>
      <c r="AV47" s="33">
        <v>120</v>
      </c>
      <c r="AW47" s="33">
        <v>120</v>
      </c>
    </row>
    <row r="48" spans="2:49" x14ac:dyDescent="0.3">
      <c r="B48" s="15" t="s">
        <v>178</v>
      </c>
      <c r="C48" s="39">
        <v>0</v>
      </c>
      <c r="D48" s="39">
        <v>0</v>
      </c>
      <c r="E48" s="39">
        <v>0</v>
      </c>
      <c r="F48" s="39">
        <v>-500</v>
      </c>
      <c r="G48" s="39">
        <v>-500</v>
      </c>
      <c r="H48" s="39">
        <v>-500</v>
      </c>
      <c r="I48" s="39">
        <v>-500</v>
      </c>
      <c r="J48" s="39">
        <v>-500</v>
      </c>
      <c r="K48" s="39">
        <v>-456.4</v>
      </c>
      <c r="L48" s="39">
        <v>-306.7</v>
      </c>
      <c r="M48" s="39">
        <v>0</v>
      </c>
      <c r="N48" s="39">
        <v>0</v>
      </c>
      <c r="O48" s="39">
        <v>0</v>
      </c>
      <c r="P48" s="39">
        <v>0</v>
      </c>
      <c r="Q48" s="39">
        <v>0</v>
      </c>
      <c r="R48" s="39">
        <v>0</v>
      </c>
      <c r="S48" s="39">
        <v>0</v>
      </c>
      <c r="T48" s="39">
        <v>0</v>
      </c>
      <c r="U48" s="39">
        <v>0</v>
      </c>
      <c r="V48" s="39">
        <v>-246.7</v>
      </c>
      <c r="W48" s="39">
        <v>-249.1</v>
      </c>
      <c r="X48" s="39">
        <v>-288.3</v>
      </c>
      <c r="Y48" s="39">
        <v>-110.9</v>
      </c>
      <c r="Z48" s="39">
        <v>0</v>
      </c>
      <c r="AA48" s="39">
        <v>0</v>
      </c>
      <c r="AB48" s="39">
        <v>0</v>
      </c>
      <c r="AC48" s="39">
        <v>0</v>
      </c>
      <c r="AD48" s="39">
        <v>0</v>
      </c>
      <c r="AE48" s="39">
        <v>0</v>
      </c>
      <c r="AF48" s="39">
        <v>0</v>
      </c>
      <c r="AG48" s="39">
        <v>0</v>
      </c>
      <c r="AH48" s="39">
        <v>0</v>
      </c>
      <c r="AI48" s="39">
        <v>0</v>
      </c>
      <c r="AJ48" s="39">
        <v>0</v>
      </c>
      <c r="AK48" s="39">
        <v>0</v>
      </c>
      <c r="AL48" s="39">
        <v>0</v>
      </c>
      <c r="AM48" s="39">
        <v>0</v>
      </c>
      <c r="AN48" s="39">
        <v>0</v>
      </c>
      <c r="AO48" s="39">
        <v>0</v>
      </c>
      <c r="AP48" s="39">
        <v>0</v>
      </c>
      <c r="AQ48" s="39">
        <v>0</v>
      </c>
      <c r="AR48" s="39">
        <v>0</v>
      </c>
      <c r="AS48" s="39">
        <v>0</v>
      </c>
      <c r="AT48" s="39">
        <v>0</v>
      </c>
      <c r="AU48" s="39">
        <v>0</v>
      </c>
      <c r="AV48" s="39">
        <v>0</v>
      </c>
      <c r="AW48" s="39">
        <v>0</v>
      </c>
    </row>
    <row r="49" spans="2:49" ht="21" customHeight="1" x14ac:dyDescent="0.3">
      <c r="B49" s="8" t="s">
        <v>81</v>
      </c>
      <c r="C49" s="40">
        <f>+ROUND((C45+C46+C47+C48),1)</f>
        <v>1526.3</v>
      </c>
      <c r="D49" s="40">
        <f>+ROUND((D45+D46+D47+D48),1)</f>
        <v>1405</v>
      </c>
      <c r="E49" s="40">
        <f>+ROUND((E45+E46+E47+E48),1)</f>
        <v>2991.1</v>
      </c>
      <c r="F49" s="40">
        <f>+ROUND((F45+F46+F47+F48),1)</f>
        <v>2365.1999999999998</v>
      </c>
      <c r="G49" s="40">
        <f t="shared" ref="G49:H49" si="19">+G45+G46+G47+G48</f>
        <v>2761.5</v>
      </c>
      <c r="H49" s="40">
        <f t="shared" si="19"/>
        <v>2773.3999999999996</v>
      </c>
      <c r="I49" s="40">
        <f t="shared" ref="I49:AW49" si="20">+I45+I46+I47+I48</f>
        <v>2967.0999999999995</v>
      </c>
      <c r="J49" s="40">
        <f t="shared" si="20"/>
        <v>3459.7</v>
      </c>
      <c r="K49" s="40">
        <f t="shared" si="20"/>
        <v>2424.6999999999994</v>
      </c>
      <c r="L49" s="40">
        <f t="shared" si="20"/>
        <v>2449.7999999999997</v>
      </c>
      <c r="M49" s="40">
        <f t="shared" si="20"/>
        <v>2831.7</v>
      </c>
      <c r="N49" s="40">
        <f t="shared" si="20"/>
        <v>1912.8269999999998</v>
      </c>
      <c r="O49" s="40">
        <f t="shared" si="20"/>
        <v>2812.3999999999996</v>
      </c>
      <c r="P49" s="40">
        <f t="shared" si="20"/>
        <v>2623.7999999999997</v>
      </c>
      <c r="Q49" s="40">
        <f t="shared" si="20"/>
        <v>2449.2999999999993</v>
      </c>
      <c r="R49" s="40">
        <f t="shared" si="20"/>
        <v>716.39999999999941</v>
      </c>
      <c r="S49" s="40">
        <f t="shared" si="20"/>
        <v>1739.5999999999997</v>
      </c>
      <c r="T49" s="40">
        <f t="shared" si="20"/>
        <v>1881.4999999999995</v>
      </c>
      <c r="U49" s="40">
        <f t="shared" si="20"/>
        <v>2171.4999999999995</v>
      </c>
      <c r="V49" s="40">
        <f t="shared" si="20"/>
        <v>2314.5190000000002</v>
      </c>
      <c r="W49" s="40">
        <f t="shared" si="20"/>
        <v>2402.1</v>
      </c>
      <c r="X49" s="40">
        <f t="shared" si="20"/>
        <v>2211.4999999999991</v>
      </c>
      <c r="Y49" s="40">
        <f t="shared" si="20"/>
        <v>2354.9999999999995</v>
      </c>
      <c r="Z49" s="40">
        <f t="shared" si="20"/>
        <v>2603.3999999999992</v>
      </c>
      <c r="AA49" s="40">
        <f t="shared" si="20"/>
        <v>2808.2999999999997</v>
      </c>
      <c r="AB49" s="40">
        <f t="shared" si="20"/>
        <v>2704.2000000000003</v>
      </c>
      <c r="AC49" s="40">
        <f t="shared" si="20"/>
        <v>2448.2999999999997</v>
      </c>
      <c r="AD49" s="40">
        <f t="shared" si="20"/>
        <v>2291.62</v>
      </c>
      <c r="AE49" s="40">
        <f t="shared" si="20"/>
        <v>1647.1</v>
      </c>
      <c r="AF49" s="40">
        <f t="shared" si="20"/>
        <v>1894</v>
      </c>
      <c r="AG49" s="40">
        <f t="shared" si="20"/>
        <v>1364.6</v>
      </c>
      <c r="AH49" s="40">
        <f t="shared" si="20"/>
        <v>1451.1999999999998</v>
      </c>
      <c r="AI49" s="40">
        <f t="shared" si="20"/>
        <v>1632.3000000000002</v>
      </c>
      <c r="AJ49" s="40">
        <f t="shared" si="20"/>
        <v>1668.954</v>
      </c>
      <c r="AK49" s="40">
        <f t="shared" si="20"/>
        <v>1618.4540000000002</v>
      </c>
      <c r="AL49" s="40">
        <f t="shared" si="20"/>
        <v>999.654</v>
      </c>
      <c r="AM49" s="40">
        <f t="shared" si="20"/>
        <v>356.05399999999997</v>
      </c>
      <c r="AN49" s="40">
        <f t="shared" si="20"/>
        <v>422.45400000000006</v>
      </c>
      <c r="AO49" s="40">
        <f t="shared" si="20"/>
        <v>534.85400000000004</v>
      </c>
      <c r="AP49" s="40">
        <f t="shared" si="20"/>
        <v>652.03600000000006</v>
      </c>
      <c r="AQ49" s="40">
        <f t="shared" si="20"/>
        <v>546.00000000000011</v>
      </c>
      <c r="AR49" s="40">
        <f t="shared" si="20"/>
        <v>694.6</v>
      </c>
      <c r="AS49" s="40">
        <f t="shared" si="20"/>
        <v>543</v>
      </c>
      <c r="AT49" s="40">
        <f t="shared" si="20"/>
        <v>669.90000000000009</v>
      </c>
      <c r="AU49" s="40">
        <f t="shared" si="20"/>
        <v>666.39999999999986</v>
      </c>
      <c r="AV49" s="40">
        <f t="shared" si="20"/>
        <v>631.29999999999995</v>
      </c>
      <c r="AW49" s="40">
        <f t="shared" si="20"/>
        <v>648.90000000000009</v>
      </c>
    </row>
    <row r="50" spans="2:49" ht="9" customHeight="1" x14ac:dyDescent="0.3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</row>
    <row r="51" spans="2:49" ht="17.25" x14ac:dyDescent="0.3">
      <c r="B51" s="5" t="s">
        <v>128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</row>
    <row r="52" spans="2:49" x14ac:dyDescent="0.3"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</sheetData>
  <pageMargins left="0.35433070866141736" right="0.35433070866141736" top="0.39370078740157483" bottom="0.39370078740157483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B1:AW65"/>
  <sheetViews>
    <sheetView zoomScaleNormal="100" zoomScaleSheetLayoutView="80" workbookViewId="0">
      <selection activeCell="K55" sqref="K55"/>
    </sheetView>
  </sheetViews>
  <sheetFormatPr defaultRowHeight="15" x14ac:dyDescent="0.3"/>
  <cols>
    <col min="1" max="1" width="5.7109375" style="5" customWidth="1"/>
    <col min="2" max="2" width="53.140625" style="5" bestFit="1" customWidth="1"/>
    <col min="3" max="43" width="13.28515625" style="5" customWidth="1"/>
    <col min="44" max="44" width="13.85546875" style="5" customWidth="1"/>
    <col min="45" max="46" width="13.85546875" style="25" customWidth="1"/>
    <col min="47" max="47" width="13.85546875" style="5" customWidth="1"/>
    <col min="48" max="48" width="13.85546875" style="25" customWidth="1"/>
    <col min="49" max="49" width="13.85546875" style="5" customWidth="1"/>
    <col min="50" max="16384" width="9.140625" style="5"/>
  </cols>
  <sheetData>
    <row r="1" spans="2:49" ht="18.75" x14ac:dyDescent="0.3">
      <c r="B1" s="44" t="s">
        <v>82</v>
      </c>
    </row>
    <row r="2" spans="2:49" x14ac:dyDescent="0.3">
      <c r="C2" s="68"/>
      <c r="D2" s="68"/>
      <c r="E2" s="68"/>
      <c r="F2" s="68"/>
      <c r="G2" s="68"/>
      <c r="H2" s="68"/>
      <c r="I2" s="68"/>
      <c r="J2" s="68"/>
      <c r="K2" s="61"/>
      <c r="L2" s="68"/>
      <c r="M2" s="68"/>
      <c r="N2" s="68"/>
      <c r="O2" s="68"/>
      <c r="P2" s="68"/>
      <c r="Q2" s="68"/>
      <c r="R2" s="68"/>
      <c r="T2" s="68"/>
      <c r="U2" s="68"/>
      <c r="V2" s="68"/>
      <c r="W2" s="68"/>
      <c r="X2" s="68"/>
    </row>
    <row r="3" spans="2:49" ht="18.75" x14ac:dyDescent="0.3">
      <c r="B3" s="1" t="s">
        <v>141</v>
      </c>
    </row>
    <row r="4" spans="2:49" x14ac:dyDescent="0.3"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3"/>
      <c r="AT4" s="33"/>
      <c r="AU4" s="32"/>
      <c r="AV4" s="33"/>
      <c r="AW4" s="32"/>
    </row>
    <row r="5" spans="2:49" ht="15.75" x14ac:dyDescent="0.35">
      <c r="B5" s="34" t="s">
        <v>0</v>
      </c>
      <c r="C5" s="35" t="s">
        <v>278</v>
      </c>
      <c r="D5" s="35" t="s">
        <v>270</v>
      </c>
      <c r="E5" s="35" t="s">
        <v>267</v>
      </c>
      <c r="F5" s="35" t="s">
        <v>264</v>
      </c>
      <c r="G5" s="35" t="s">
        <v>261</v>
      </c>
      <c r="H5" s="35" t="s">
        <v>257</v>
      </c>
      <c r="I5" s="35" t="s">
        <v>254</v>
      </c>
      <c r="J5" s="35" t="s">
        <v>250</v>
      </c>
      <c r="K5" s="35" t="s">
        <v>246</v>
      </c>
      <c r="L5" s="35" t="s">
        <v>243</v>
      </c>
      <c r="M5" s="35" t="s">
        <v>240</v>
      </c>
      <c r="N5" s="35" t="s">
        <v>237</v>
      </c>
      <c r="O5" s="35" t="s">
        <v>233</v>
      </c>
      <c r="P5" s="35" t="s">
        <v>227</v>
      </c>
      <c r="Q5" s="35" t="s">
        <v>215</v>
      </c>
      <c r="R5" s="35" t="s">
        <v>208</v>
      </c>
      <c r="S5" s="35" t="s">
        <v>205</v>
      </c>
      <c r="T5" s="35" t="s">
        <v>202</v>
      </c>
      <c r="U5" s="35" t="s">
        <v>192</v>
      </c>
      <c r="V5" s="35" t="s">
        <v>189</v>
      </c>
      <c r="W5" s="35" t="s">
        <v>185</v>
      </c>
      <c r="X5" s="35" t="s">
        <v>182</v>
      </c>
      <c r="Y5" s="35" t="s">
        <v>174</v>
      </c>
      <c r="Z5" s="35" t="s">
        <v>171</v>
      </c>
      <c r="AA5" s="35" t="s">
        <v>168</v>
      </c>
      <c r="AB5" s="35" t="s">
        <v>165</v>
      </c>
      <c r="AC5" s="35" t="s">
        <v>162</v>
      </c>
      <c r="AD5" s="35" t="s">
        <v>159</v>
      </c>
      <c r="AE5" s="35" t="s">
        <v>156</v>
      </c>
      <c r="AF5" s="35" t="s">
        <v>151</v>
      </c>
      <c r="AG5" s="35" t="s">
        <v>148</v>
      </c>
      <c r="AH5" s="35" t="s">
        <v>145</v>
      </c>
      <c r="AI5" s="35" t="s">
        <v>137</v>
      </c>
      <c r="AJ5" s="35" t="s">
        <v>134</v>
      </c>
      <c r="AK5" s="35" t="s">
        <v>129</v>
      </c>
      <c r="AL5" s="35" t="s">
        <v>122</v>
      </c>
      <c r="AM5" s="35" t="s">
        <v>119</v>
      </c>
      <c r="AN5" s="35" t="s">
        <v>115</v>
      </c>
      <c r="AO5" s="35" t="s">
        <v>110</v>
      </c>
      <c r="AP5" s="35" t="s">
        <v>101</v>
      </c>
      <c r="AQ5" s="35" t="s">
        <v>103</v>
      </c>
      <c r="AR5" s="35" t="s">
        <v>104</v>
      </c>
      <c r="AS5" s="35" t="s">
        <v>105</v>
      </c>
      <c r="AT5" s="35" t="s">
        <v>102</v>
      </c>
      <c r="AU5" s="35" t="s">
        <v>106</v>
      </c>
      <c r="AV5" s="35" t="s">
        <v>107</v>
      </c>
      <c r="AW5" s="35" t="s">
        <v>108</v>
      </c>
    </row>
    <row r="6" spans="2:49" ht="15" customHeight="1" x14ac:dyDescent="0.3">
      <c r="B6" s="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</row>
    <row r="7" spans="2:49" ht="15" customHeight="1" x14ac:dyDescent="0.3">
      <c r="B7" s="3" t="s">
        <v>55</v>
      </c>
      <c r="C7" s="37">
        <f>+'CF YTD 2012 - 2023'!C7-'CF YTD 2012 - 2023'!D7</f>
        <v>-326.09999999999991</v>
      </c>
      <c r="D7" s="37">
        <f>+'CF YTD 2012 - 2023'!D7-'CF YTD 2012 - 2023'!E7</f>
        <v>546.19999999999982</v>
      </c>
      <c r="E7" s="37">
        <f>+'CF YTD 2012 - 2023'!E7-'CF YTD 2012 - 2023'!AX7</f>
        <v>369.7999999999999</v>
      </c>
      <c r="F7" s="37">
        <f>+'CF YTD 2012 - 2023'!F7-'CF YTD 2012 - 2023'!G7</f>
        <v>210.90000000000009</v>
      </c>
      <c r="G7" s="37">
        <f>+'CF YTD 2012 - 2023'!G7-'CF YTD 2012 - 2023'!H7</f>
        <v>127.99999999999994</v>
      </c>
      <c r="H7" s="37">
        <f>+'CF YTD 2012 - 2023'!H7-'CF YTD 2012 - 2023'!I7</f>
        <v>-217.59999999999997</v>
      </c>
      <c r="I7" s="37">
        <f>+'CF YTD 2012 - 2023'!I7-'CF YTD 2012 - 2023'!BB7</f>
        <v>-192.09999999999997</v>
      </c>
      <c r="J7" s="37">
        <f>+'CF YTD 2012 - 2023'!J7-'CF YTD 2012 - 2023'!K7</f>
        <v>-71.899999999999523</v>
      </c>
      <c r="K7" s="37">
        <f>+'CF YTD 2012 - 2023'!K7-'CF YTD 2012 - 2023'!L7</f>
        <v>-47</v>
      </c>
      <c r="L7" s="37">
        <f>+'CF YTD 2012 - 2023'!L7-'CF YTD 2012 - 2023'!M7</f>
        <v>-106.69999999999999</v>
      </c>
      <c r="M7" s="37">
        <f>+'CF YTD 2012 - 2023'!M7-'CF YTD 2012 - 2023'!AZ7</f>
        <v>-88.000000000000057</v>
      </c>
      <c r="N7" s="37">
        <f>+'CF YTD 2012 - 2023'!N7-'CF YTD 2012 - 2023'!O7</f>
        <v>-354.0999999999998</v>
      </c>
      <c r="O7" s="37">
        <f>+'CF YTD 2012 - 2023'!O7-'CF YTD 2012 - 2023'!P7</f>
        <v>63.899999999999977</v>
      </c>
      <c r="P7" s="37">
        <f>+'CF YTD 2012 - 2023'!P7-'CF YTD 2012 - 2023'!Q7</f>
        <v>112.20000000000005</v>
      </c>
      <c r="Q7" s="37">
        <f>+'CF YTD 2012 - 2023'!Q7-'CF YTD 2012 - 2023'!AZ7</f>
        <v>557.6</v>
      </c>
      <c r="R7" s="37">
        <f>+'CF YTD 2012 - 2023'!R7-'CF YTD 2012 - 2023'!S7</f>
        <v>-30.700000000000045</v>
      </c>
      <c r="S7" s="37">
        <f>+'CF YTD 2012 - 2023'!S7-'CF YTD 2012 - 2023'!T7</f>
        <v>-96.5</v>
      </c>
      <c r="T7" s="37">
        <f>+'CF YTD 2012 - 2023'!T7-'CF YTD 2012 - 2023'!U7</f>
        <v>-96.999999999999986</v>
      </c>
      <c r="U7" s="37">
        <f>+'CF YTD 2012 - 2023'!U7-'CF YTD 2012 - 2023'!AZ7</f>
        <v>-104.30000000000003</v>
      </c>
      <c r="V7" s="37">
        <f>+'CF YTD 2012 - 2023'!V7-'CF YTD 2012 - 2023'!W7</f>
        <v>-93.599999999999966</v>
      </c>
      <c r="W7" s="37">
        <f>+'CF YTD 2012 - 2023'!W7-'CF YTD 2012 - 2023'!X7</f>
        <v>18.899999999999977</v>
      </c>
      <c r="X7" s="37">
        <f>+'CF YTD 2012 - 2023'!X7-'CF YTD 2012 - 2023'!Y7</f>
        <v>-107</v>
      </c>
      <c r="Y7" s="37">
        <f>+'CF YTD 2012 - 2023'!Y7-'CF YTD 2012 - 2023'!AX7</f>
        <v>-172.8</v>
      </c>
      <c r="Z7" s="37">
        <f>+'CF YTD 2012 - 2023'!Z7-'CF YTD 2012 - 2023'!AA7</f>
        <v>-178</v>
      </c>
      <c r="AA7" s="37">
        <f>+'CF YTD 2012 - 2023'!AA7-'CF YTD 2012 - 2023'!AB7</f>
        <v>431.99999999999989</v>
      </c>
      <c r="AB7" s="37">
        <f>+'CF YTD 2012 - 2023'!AB7-'CF YTD 2012 - 2023'!AC7</f>
        <v>102.30000000000004</v>
      </c>
      <c r="AC7" s="37">
        <f>+'CF YTD 2012 - 2023'!AC7-'CF YTD 2012 - 2023'!AX7</f>
        <v>-3.0999999999999943</v>
      </c>
      <c r="AD7" s="37">
        <f>+'CF YTD 2012 - 2023'!AD7-'CF YTD 2012 - 2023'!AE7</f>
        <v>114.90000000000002</v>
      </c>
      <c r="AE7" s="37">
        <f>+'CF YTD 2012 - 2023'!AE7-'CF YTD 2012 - 2023'!AF7</f>
        <v>124.80000000000003</v>
      </c>
      <c r="AF7" s="37">
        <f>+'CF YTD 2012 - 2023'!AF7-'CF YTD 2012 - 2023'!AG7</f>
        <v>-54</v>
      </c>
      <c r="AG7" s="37">
        <f>+'CF YTD 2012 - 2023'!AG7</f>
        <v>-152.69999999999999</v>
      </c>
      <c r="AH7" s="37">
        <v>-0.70000000000000007</v>
      </c>
      <c r="AI7" s="37">
        <v>-82.5</v>
      </c>
      <c r="AJ7" s="37">
        <v>125</v>
      </c>
      <c r="AK7" s="37">
        <v>-40.200000000000003</v>
      </c>
      <c r="AL7" s="37">
        <v>138</v>
      </c>
      <c r="AM7" s="37">
        <v>-51.599999999999994</v>
      </c>
      <c r="AN7" s="37">
        <v>-73.100000000000009</v>
      </c>
      <c r="AO7" s="37">
        <v>3.4</v>
      </c>
      <c r="AP7" s="37">
        <v>39.414999999999999</v>
      </c>
      <c r="AQ7" s="37">
        <v>31.6</v>
      </c>
      <c r="AR7" s="37">
        <v>10</v>
      </c>
      <c r="AS7" s="37">
        <v>-47.6</v>
      </c>
      <c r="AT7" s="37">
        <v>-54.899999999999864</v>
      </c>
      <c r="AU7" s="37">
        <v>33.999999999999972</v>
      </c>
      <c r="AV7" s="37">
        <v>18.999999999999943</v>
      </c>
      <c r="AW7" s="37">
        <v>-29.799999999999983</v>
      </c>
    </row>
    <row r="8" spans="2:49" ht="9" customHeight="1" x14ac:dyDescent="0.3"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</row>
    <row r="9" spans="2:49" x14ac:dyDescent="0.3">
      <c r="B9" s="5" t="s">
        <v>56</v>
      </c>
      <c r="C9" s="33">
        <f>+'CF YTD 2012 - 2023'!C8-'CF YTD 2012 - 2023'!D8</f>
        <v>710</v>
      </c>
      <c r="D9" s="33">
        <f>+'CF YTD 2012 - 2023'!D8-'CF YTD 2012 - 2023'!E8</f>
        <v>139.89999999999998</v>
      </c>
      <c r="E9" s="33">
        <f>+'CF YTD 2012 - 2023'!E8-'CF YTD 2012 - 2023'!AX8</f>
        <v>111.7</v>
      </c>
      <c r="F9" s="33">
        <f>+'CF YTD 2012 - 2023'!F8-'CF YTD 2012 - 2023'!G8</f>
        <v>103.09999999999997</v>
      </c>
      <c r="G9" s="33">
        <f>+'CF YTD 2012 - 2023'!G8-'CF YTD 2012 - 2023'!H8</f>
        <v>98.400000000000034</v>
      </c>
      <c r="H9" s="33">
        <f>+'CF YTD 2012 - 2023'!H8-'CF YTD 2012 - 2023'!I8</f>
        <v>99.299999999999983</v>
      </c>
      <c r="I9" s="33">
        <f>+'CF YTD 2012 - 2023'!I8-'CF YTD 2012 - 2023'!BB8</f>
        <v>98.4</v>
      </c>
      <c r="J9" s="33">
        <f>+'CF YTD 2012 - 2023'!J8-'CF YTD 2012 - 2023'!K8</f>
        <v>103.10000000000002</v>
      </c>
      <c r="K9" s="33">
        <f>+'CF YTD 2012 - 2023'!K8-'CF YTD 2012 - 2023'!L8</f>
        <v>98.5</v>
      </c>
      <c r="L9" s="33">
        <f>+'CF YTD 2012 - 2023'!L8-'CF YTD 2012 - 2023'!M8</f>
        <v>97.399999999999991</v>
      </c>
      <c r="M9" s="33">
        <f>+'CF YTD 2012 - 2023'!M8-'CF YTD 2012 - 2023'!AZ8</f>
        <v>89.3</v>
      </c>
      <c r="N9" s="33">
        <f>+'CF YTD 2012 - 2023'!N8-'CF YTD 2012 - 2023'!O8</f>
        <v>92.600000000000023</v>
      </c>
      <c r="O9" s="33">
        <f>+'CF YTD 2012 - 2023'!O8-'CF YTD 2012 - 2023'!P8</f>
        <v>98.699999999999989</v>
      </c>
      <c r="P9" s="33">
        <f>+'CF YTD 2012 - 2023'!P8-'CF YTD 2012 - 2023'!Q8</f>
        <v>153.4</v>
      </c>
      <c r="Q9" s="33">
        <f>+'CF YTD 2012 - 2023'!Q8-'CF YTD 2012 - 2023'!AZ8</f>
        <v>15.4</v>
      </c>
      <c r="R9" s="33">
        <f>+'CF YTD 2012 - 2023'!R8-'CF YTD 2012 - 2023'!S8</f>
        <v>14.200000000000003</v>
      </c>
      <c r="S9" s="33">
        <f>+'CF YTD 2012 - 2023'!S8-'CF YTD 2012 - 2023'!T8</f>
        <v>14.2</v>
      </c>
      <c r="T9" s="33">
        <f>+'CF YTD 2012 - 2023'!T8-'CF YTD 2012 - 2023'!U8</f>
        <v>14.2</v>
      </c>
      <c r="U9" s="33">
        <f>+'CF YTD 2012 - 2023'!U8-'CF YTD 2012 - 2023'!AZ8</f>
        <v>14.5</v>
      </c>
      <c r="V9" s="33">
        <f>+'CF YTD 2012 - 2023'!V8-'CF YTD 2012 - 2023'!W8</f>
        <v>11.700000000000003</v>
      </c>
      <c r="W9" s="33">
        <f>+'CF YTD 2012 - 2023'!W8-'CF YTD 2012 - 2023'!X8</f>
        <v>10</v>
      </c>
      <c r="X9" s="33">
        <f>+'CF YTD 2012 - 2023'!X8-'CF YTD 2012 - 2023'!Y8</f>
        <v>10.099999999999998</v>
      </c>
      <c r="Y9" s="33">
        <f>+'CF YTD 2012 - 2023'!Y8-'CF YTD 2012 - 2023'!AX8</f>
        <v>9.8000000000000007</v>
      </c>
      <c r="Z9" s="33">
        <f>+'CF YTD 2012 - 2023'!Z8-'CF YTD 2012 - 2023'!AA8</f>
        <v>8.8999999999999986</v>
      </c>
      <c r="AA9" s="33">
        <f>+'CF YTD 2012 - 2023'!AA8-'CF YTD 2012 - 2023'!AB8</f>
        <v>8.8000000000000007</v>
      </c>
      <c r="AB9" s="33">
        <f>+'CF YTD 2012 - 2023'!AB8-'CF YTD 2012 - 2023'!AC8</f>
        <v>8.4</v>
      </c>
      <c r="AC9" s="33">
        <f>+'CF YTD 2012 - 2023'!AC8-'CF YTD 2012 - 2023'!AX8</f>
        <v>11.4</v>
      </c>
      <c r="AD9" s="33">
        <f>+'CF YTD 2012 - 2023'!AD8-'CF YTD 2012 - 2023'!AE8</f>
        <v>12.600000000000001</v>
      </c>
      <c r="AE9" s="33">
        <f>+'CF YTD 2012 - 2023'!AE8-'CF YTD 2012 - 2023'!AF8</f>
        <v>11.099999999999998</v>
      </c>
      <c r="AF9" s="33">
        <f>+'CF YTD 2012 - 2023'!AF8-'CF YTD 2012 - 2023'!AG8</f>
        <v>10.899999999999999</v>
      </c>
      <c r="AG9" s="33">
        <f>+'CF YTD 2012 - 2023'!AG8</f>
        <v>10.8</v>
      </c>
      <c r="AH9" s="33">
        <v>10.899999999999997</v>
      </c>
      <c r="AI9" s="33">
        <v>10.800000000000002</v>
      </c>
      <c r="AJ9" s="33">
        <v>10.9</v>
      </c>
      <c r="AK9" s="33">
        <v>10.9</v>
      </c>
      <c r="AL9" s="33">
        <v>11.700000000000003</v>
      </c>
      <c r="AM9" s="33">
        <v>10.999999999999996</v>
      </c>
      <c r="AN9" s="33">
        <v>11.200000000000001</v>
      </c>
      <c r="AO9" s="33">
        <v>11.1</v>
      </c>
      <c r="AP9" s="33">
        <v>10.219000000000001</v>
      </c>
      <c r="AQ9" s="33">
        <v>12.899999999999999</v>
      </c>
      <c r="AR9" s="33">
        <v>11.900000000000002</v>
      </c>
      <c r="AS9" s="33">
        <v>11.2</v>
      </c>
      <c r="AT9" s="33">
        <v>19.899999999999999</v>
      </c>
      <c r="AU9" s="33">
        <v>11.3</v>
      </c>
      <c r="AV9" s="33">
        <v>11.200000000000001</v>
      </c>
      <c r="AW9" s="33">
        <v>14.1</v>
      </c>
    </row>
    <row r="10" spans="2:49" ht="15" customHeight="1" x14ac:dyDescent="0.3">
      <c r="B10" s="38" t="s">
        <v>200</v>
      </c>
      <c r="C10" s="33">
        <f>+'CF YTD 2012 - 2023'!C9-'CF YTD 2012 - 2023'!D9</f>
        <v>0</v>
      </c>
      <c r="D10" s="33">
        <f>+'CF YTD 2012 - 2023'!D9-'CF YTD 2012 - 2023'!E9</f>
        <v>0</v>
      </c>
      <c r="E10" s="33">
        <f>+'CF YTD 2012 - 2023'!E9-'CF YTD 2012 - 2023'!AX9</f>
        <v>0</v>
      </c>
      <c r="F10" s="33">
        <f>+'CF YTD 2012 - 2023'!F9-'CF YTD 2012 - 2023'!G9</f>
        <v>0</v>
      </c>
      <c r="G10" s="33">
        <f>+'CF YTD 2012 - 2023'!G9-'CF YTD 2012 - 2023'!H9</f>
        <v>0</v>
      </c>
      <c r="H10" s="33">
        <f>+'CF YTD 2012 - 2023'!H9-'CF YTD 2012 - 2023'!I9</f>
        <v>0</v>
      </c>
      <c r="I10" s="33">
        <f>+'CF YTD 2012 - 2023'!I9-'CF YTD 2012 - 2023'!BB9</f>
        <v>0</v>
      </c>
      <c r="J10" s="33">
        <f>+'CF YTD 2012 - 2023'!J9-'CF YTD 2012 - 2023'!K9</f>
        <v>0</v>
      </c>
      <c r="K10" s="33">
        <f>+'CF YTD 2012 - 2023'!K9-'CF YTD 2012 - 2023'!L9</f>
        <v>0</v>
      </c>
      <c r="L10" s="33">
        <f>+'CF YTD 2012 - 2023'!L9-'CF YTD 2012 - 2023'!M9</f>
        <v>0</v>
      </c>
      <c r="M10" s="33">
        <f>+'CF YTD 2012 - 2023'!M9-'CF YTD 2012 - 2023'!AZ9</f>
        <v>0</v>
      </c>
      <c r="N10" s="33">
        <f>+'CF YTD 2012 - 2023'!N9-'CF YTD 2012 - 2023'!O9</f>
        <v>0</v>
      </c>
      <c r="O10" s="33">
        <f>+'CF YTD 2012 - 2023'!O9-'CF YTD 2012 - 2023'!P9</f>
        <v>0</v>
      </c>
      <c r="P10" s="33">
        <f>+'CF YTD 2012 - 2023'!P9-'CF YTD 2012 - 2023'!Q9</f>
        <v>0</v>
      </c>
      <c r="Q10" s="33">
        <f>+'CF YTD 2012 - 2023'!Q9-'CF YTD 2012 - 2023'!AZ9</f>
        <v>0</v>
      </c>
      <c r="R10" s="33">
        <f>+'CF YTD 2012 - 2023'!R9-'CF YTD 2012 - 2023'!S9</f>
        <v>0</v>
      </c>
      <c r="S10" s="33">
        <f>+'CF YTD 2012 - 2023'!S9-'CF YTD 2012 - 2023'!T9</f>
        <v>0</v>
      </c>
      <c r="T10" s="33">
        <f>+'CF YTD 2012 - 2023'!T9-'CF YTD 2012 - 2023'!U9</f>
        <v>0</v>
      </c>
      <c r="U10" s="33">
        <f>+'CF YTD 2012 - 2023'!U9-'CF YTD 2012 - 2023'!AZ9</f>
        <v>0</v>
      </c>
      <c r="V10" s="33">
        <f>+'CF YTD 2012 - 2023'!V9-'CF YTD 2012 - 2023'!W9</f>
        <v>0</v>
      </c>
      <c r="W10" s="33">
        <f>+'CF YTD 2012 - 2023'!W9-'CF YTD 2012 - 2023'!X9</f>
        <v>0</v>
      </c>
      <c r="X10" s="33">
        <f>+'CF YTD 2012 - 2023'!X9-'CF YTD 2012 - 2023'!Y9</f>
        <v>0</v>
      </c>
      <c r="Y10" s="33">
        <f>+'CF YTD 2012 - 2023'!Y9-'CF YTD 2012 - 2023'!AX9</f>
        <v>0</v>
      </c>
      <c r="Z10" s="33">
        <f>+'CF YTD 2012 - 2023'!Z9-'CF YTD 2012 - 2023'!AA9</f>
        <v>2.7000000000000028</v>
      </c>
      <c r="AA10" s="33">
        <f>+'CF YTD 2012 - 2023'!AA9-'CF YTD 2012 - 2023'!AB9</f>
        <v>23.5</v>
      </c>
      <c r="AB10" s="33">
        <f>+'CF YTD 2012 - 2023'!AB9-'CF YTD 2012 - 2023'!AC9</f>
        <v>28.199999999999996</v>
      </c>
      <c r="AC10" s="33">
        <f>+'CF YTD 2012 - 2023'!AC9-'CF YTD 2012 - 2023'!AX9</f>
        <v>15.1</v>
      </c>
      <c r="AD10" s="33">
        <f>+'CF YTD 2012 - 2023'!AD9-'CF YTD 2012 - 2023'!AE9</f>
        <v>30.400000000000006</v>
      </c>
      <c r="AE10" s="33">
        <f>+'CF YTD 2012 - 2023'!AE9-'CF YTD 2012 - 2023'!AF9</f>
        <v>38.099999999999994</v>
      </c>
      <c r="AF10" s="33">
        <f>+'CF YTD 2012 - 2023'!AF9-'CF YTD 2012 - 2023'!AG9</f>
        <v>0</v>
      </c>
      <c r="AG10" s="33">
        <f>+'CF YTD 2012 - 2023'!AG9</f>
        <v>0.2</v>
      </c>
      <c r="AH10" s="33">
        <v>0</v>
      </c>
      <c r="AI10" s="33">
        <v>0</v>
      </c>
      <c r="AJ10" s="33">
        <v>0.20000000000000018</v>
      </c>
      <c r="AK10" s="33">
        <v>2.5</v>
      </c>
      <c r="AL10" s="33">
        <v>20.100000000000001</v>
      </c>
      <c r="AM10" s="33">
        <v>7.7999999999999972</v>
      </c>
      <c r="AN10" s="33">
        <v>5.9000000000000021</v>
      </c>
      <c r="AO10" s="33">
        <v>11.7</v>
      </c>
      <c r="AP10" s="33">
        <v>13.844999999999999</v>
      </c>
      <c r="AQ10" s="33">
        <v>15.899999999999991</v>
      </c>
      <c r="AR10" s="33">
        <v>118.3</v>
      </c>
      <c r="AS10" s="33">
        <v>0</v>
      </c>
      <c r="AT10" s="33">
        <v>0</v>
      </c>
      <c r="AU10" s="33">
        <v>0</v>
      </c>
      <c r="AV10" s="33">
        <v>0</v>
      </c>
      <c r="AW10" s="33">
        <v>0</v>
      </c>
    </row>
    <row r="11" spans="2:49" x14ac:dyDescent="0.3">
      <c r="B11" s="5" t="s">
        <v>57</v>
      </c>
      <c r="C11" s="33">
        <f>+'CF YTD 2012 - 2023'!C10-'CF YTD 2012 - 2023'!D10</f>
        <v>9.7999999999999972</v>
      </c>
      <c r="D11" s="33">
        <f>+'CF YTD 2012 - 2023'!D10-'CF YTD 2012 - 2023'!E10</f>
        <v>15</v>
      </c>
      <c r="E11" s="33">
        <f>+'CF YTD 2012 - 2023'!E10-'CF YTD 2012 - 2023'!AX10</f>
        <v>16.600000000000001</v>
      </c>
      <c r="F11" s="33">
        <f>+'CF YTD 2012 - 2023'!F10-'CF YTD 2012 - 2023'!G10</f>
        <v>15.899999999999999</v>
      </c>
      <c r="G11" s="33">
        <f>+'CF YTD 2012 - 2023'!G10-'CF YTD 2012 - 2023'!H10</f>
        <v>7.8999999999999986</v>
      </c>
      <c r="H11" s="33">
        <f>+'CF YTD 2012 - 2023'!H10-'CF YTD 2012 - 2023'!I10</f>
        <v>18.899999999999999</v>
      </c>
      <c r="I11" s="33">
        <f>+'CF YTD 2012 - 2023'!I10-'CF YTD 2012 - 2023'!BB10</f>
        <v>6.6</v>
      </c>
      <c r="J11" s="33">
        <f>+'CF YTD 2012 - 2023'!J10-'CF YTD 2012 - 2023'!K10</f>
        <v>1.5</v>
      </c>
      <c r="K11" s="33">
        <f>+'CF YTD 2012 - 2023'!K10-'CF YTD 2012 - 2023'!L10</f>
        <v>21</v>
      </c>
      <c r="L11" s="33">
        <f>+'CF YTD 2012 - 2023'!L10-'CF YTD 2012 - 2023'!M10</f>
        <v>8.1999999999999993</v>
      </c>
      <c r="M11" s="33">
        <f>+'CF YTD 2012 - 2023'!M10-'CF YTD 2012 - 2023'!AZ10</f>
        <v>26.2</v>
      </c>
      <c r="N11" s="33">
        <f>+'CF YTD 2012 - 2023'!N10-'CF YTD 2012 - 2023'!O10</f>
        <v>8.6999999999999993</v>
      </c>
      <c r="O11" s="33">
        <f>+'CF YTD 2012 - 2023'!O10-'CF YTD 2012 - 2023'!P10</f>
        <v>7.4000000000000021</v>
      </c>
      <c r="P11" s="33">
        <f>+'CF YTD 2012 - 2023'!P10-'CF YTD 2012 - 2023'!Q10</f>
        <v>10.499999999999998</v>
      </c>
      <c r="Q11" s="33">
        <f>+'CF YTD 2012 - 2023'!Q10-'CF YTD 2012 - 2023'!AZ10</f>
        <v>6.4</v>
      </c>
      <c r="R11" s="33">
        <f>+'CF YTD 2012 - 2023'!R10-'CF YTD 2012 - 2023'!S10</f>
        <v>6.0999999999999979</v>
      </c>
      <c r="S11" s="33">
        <f>+'CF YTD 2012 - 2023'!S10-'CF YTD 2012 - 2023'!T10</f>
        <v>5.6000000000000014</v>
      </c>
      <c r="T11" s="33">
        <f>+'CF YTD 2012 - 2023'!T10-'CF YTD 2012 - 2023'!U10</f>
        <v>4.6999999999999993</v>
      </c>
      <c r="U11" s="33">
        <f>+'CF YTD 2012 - 2023'!U10-'CF YTD 2012 - 2023'!AZ10</f>
        <v>10</v>
      </c>
      <c r="V11" s="33">
        <f>+'CF YTD 2012 - 2023'!V10-'CF YTD 2012 - 2023'!W10</f>
        <v>7.6999999999999993</v>
      </c>
      <c r="W11" s="33">
        <f>+'CF YTD 2012 - 2023'!W10-'CF YTD 2012 - 2023'!X10</f>
        <v>7.5999999999999979</v>
      </c>
      <c r="X11" s="33">
        <f>+'CF YTD 2012 - 2023'!X10-'CF YTD 2012 - 2023'!Y10</f>
        <v>9.8000000000000007</v>
      </c>
      <c r="Y11" s="33">
        <f>+'CF YTD 2012 - 2023'!Y10-'CF YTD 2012 - 2023'!AX10</f>
        <v>8.8000000000000007</v>
      </c>
      <c r="Z11" s="33">
        <f>+'CF YTD 2012 - 2023'!Z10-'CF YTD 2012 - 2023'!AA10</f>
        <v>0.90000000000000213</v>
      </c>
      <c r="AA11" s="33">
        <f>+'CF YTD 2012 - 2023'!AA10-'CF YTD 2012 - 2023'!AB10</f>
        <v>-3.3000000000000007</v>
      </c>
      <c r="AB11" s="33">
        <f>+'CF YTD 2012 - 2023'!AB10-'CF YTD 2012 - 2023'!AC10</f>
        <v>12.7</v>
      </c>
      <c r="AC11" s="33">
        <f>+'CF YTD 2012 - 2023'!AC10-'CF YTD 2012 - 2023'!AX10</f>
        <v>16.5</v>
      </c>
      <c r="AD11" s="33">
        <f>+'CF YTD 2012 - 2023'!AD10-'CF YTD 2012 - 2023'!AE10</f>
        <v>5.9</v>
      </c>
      <c r="AE11" s="33">
        <f>+'CF YTD 2012 - 2023'!AE10-'CF YTD 2012 - 2023'!AF10</f>
        <v>9</v>
      </c>
      <c r="AF11" s="33">
        <f>+'CF YTD 2012 - 2023'!AF10-'CF YTD 2012 - 2023'!AG10</f>
        <v>6.6</v>
      </c>
      <c r="AG11" s="33">
        <f>+'CF YTD 2012 - 2023'!AG10</f>
        <v>-3.3</v>
      </c>
      <c r="AH11" s="33">
        <v>11</v>
      </c>
      <c r="AI11" s="33">
        <v>0</v>
      </c>
      <c r="AJ11" s="33">
        <v>3.6999999999999993</v>
      </c>
      <c r="AK11" s="33">
        <v>12</v>
      </c>
      <c r="AL11" s="33">
        <v>12.200000000000001</v>
      </c>
      <c r="AM11" s="33">
        <v>2.0999999999999996</v>
      </c>
      <c r="AN11" s="33">
        <v>5.7</v>
      </c>
      <c r="AO11" s="33">
        <v>1.3</v>
      </c>
      <c r="AP11" s="33">
        <v>2.4429999999999996</v>
      </c>
      <c r="AQ11" s="33">
        <v>2.5</v>
      </c>
      <c r="AR11" s="33">
        <v>2.6000000000000005</v>
      </c>
      <c r="AS11" s="33">
        <v>4.8</v>
      </c>
      <c r="AT11" s="33">
        <v>4.5999999999999979</v>
      </c>
      <c r="AU11" s="33">
        <v>4.8000000000000007</v>
      </c>
      <c r="AV11" s="33">
        <v>3.5</v>
      </c>
      <c r="AW11" s="33">
        <v>4</v>
      </c>
    </row>
    <row r="12" spans="2:49" x14ac:dyDescent="0.3">
      <c r="B12" s="5" t="s">
        <v>58</v>
      </c>
      <c r="C12" s="33">
        <f>+'CF YTD 2012 - 2023'!C11-'CF YTD 2012 - 2023'!D11</f>
        <v>0</v>
      </c>
      <c r="D12" s="33">
        <f>+'CF YTD 2012 - 2023'!D11-'CF YTD 2012 - 2023'!E11</f>
        <v>0</v>
      </c>
      <c r="E12" s="33">
        <f>+'CF YTD 2012 - 2023'!E11-'CF YTD 2012 - 2023'!AX11</f>
        <v>0</v>
      </c>
      <c r="F12" s="33">
        <f>+'CF YTD 2012 - 2023'!F11-'CF YTD 2012 - 2023'!G11</f>
        <v>0</v>
      </c>
      <c r="G12" s="33">
        <f>+'CF YTD 2012 - 2023'!G11-'CF YTD 2012 - 2023'!H11</f>
        <v>0</v>
      </c>
      <c r="H12" s="33">
        <f>+'CF YTD 2012 - 2023'!H11-'CF YTD 2012 - 2023'!I11</f>
        <v>0</v>
      </c>
      <c r="I12" s="33">
        <f>+'CF YTD 2012 - 2023'!I11-'CF YTD 2012 - 2023'!BB11</f>
        <v>0</v>
      </c>
      <c r="J12" s="33">
        <f>+'CF YTD 2012 - 2023'!J11-'CF YTD 2012 - 2023'!K11</f>
        <v>0</v>
      </c>
      <c r="K12" s="33">
        <f>+'CF YTD 2012 - 2023'!K11-'CF YTD 2012 - 2023'!L11</f>
        <v>0</v>
      </c>
      <c r="L12" s="33">
        <f>+'CF YTD 2012 - 2023'!L11-'CF YTD 2012 - 2023'!M11</f>
        <v>0</v>
      </c>
      <c r="M12" s="33">
        <f>+'CF YTD 2012 - 2023'!M11-'CF YTD 2012 - 2023'!AZ11</f>
        <v>0</v>
      </c>
      <c r="N12" s="33">
        <f>+'CF YTD 2012 - 2023'!N11-'CF YTD 2012 - 2023'!O11</f>
        <v>0</v>
      </c>
      <c r="O12" s="33">
        <f>+'CF YTD 2012 - 2023'!O11-'CF YTD 2012 - 2023'!P11</f>
        <v>0</v>
      </c>
      <c r="P12" s="33">
        <f>+'CF YTD 2012 - 2023'!P11-'CF YTD 2012 - 2023'!Q11</f>
        <v>0</v>
      </c>
      <c r="Q12" s="33">
        <f>+'CF YTD 2012 - 2023'!Q11-'CF YTD 2012 - 2023'!AZ11</f>
        <v>0</v>
      </c>
      <c r="R12" s="33">
        <f>+'CF YTD 2012 - 2023'!R11-'CF YTD 2012 - 2023'!S11</f>
        <v>22.2</v>
      </c>
      <c r="S12" s="33">
        <f>+'CF YTD 2012 - 2023'!S11-'CF YTD 2012 - 2023'!T11</f>
        <v>0</v>
      </c>
      <c r="T12" s="33">
        <f>+'CF YTD 2012 - 2023'!T11-'CF YTD 2012 - 2023'!U11</f>
        <v>0</v>
      </c>
      <c r="U12" s="33">
        <f>+'CF YTD 2012 - 2023'!U11-'CF YTD 2012 - 2023'!AZ11</f>
        <v>0</v>
      </c>
      <c r="V12" s="33">
        <f>+'CF YTD 2012 - 2023'!V11-'CF YTD 2012 - 2023'!W11</f>
        <v>0</v>
      </c>
      <c r="W12" s="33">
        <f>+'CF YTD 2012 - 2023'!W11-'CF YTD 2012 - 2023'!X11</f>
        <v>0</v>
      </c>
      <c r="X12" s="33">
        <f>+'CF YTD 2012 - 2023'!X11-'CF YTD 2012 - 2023'!Y11</f>
        <v>0</v>
      </c>
      <c r="Y12" s="33">
        <f>+'CF YTD 2012 - 2023'!Y11-'CF YTD 2012 - 2023'!AX11</f>
        <v>0</v>
      </c>
      <c r="Z12" s="33">
        <f>+'CF YTD 2012 - 2023'!Z11-'CF YTD 2012 - 2023'!AA11</f>
        <v>48.000000000000007</v>
      </c>
      <c r="AA12" s="33">
        <f>+'CF YTD 2012 - 2023'!AA11-'CF YTD 2012 - 2023'!AB11</f>
        <v>-2.7</v>
      </c>
      <c r="AB12" s="33">
        <f>+'CF YTD 2012 - 2023'!AB11-'CF YTD 2012 - 2023'!AC11</f>
        <v>0</v>
      </c>
      <c r="AC12" s="33">
        <f>+'CF YTD 2012 - 2023'!AC11-'CF YTD 2012 - 2023'!AX11</f>
        <v>0</v>
      </c>
      <c r="AD12" s="33">
        <f>+'CF YTD 2012 - 2023'!AD11-'CF YTD 2012 - 2023'!AE11</f>
        <v>2.8</v>
      </c>
      <c r="AE12" s="33">
        <f>+'CF YTD 2012 - 2023'!AE11-'CF YTD 2012 - 2023'!AF11</f>
        <v>0</v>
      </c>
      <c r="AF12" s="33">
        <f>+'CF YTD 2012 - 2023'!AF11-'CF YTD 2012 - 2023'!AG11</f>
        <v>0</v>
      </c>
      <c r="AG12" s="33">
        <f>+'CF YTD 2012 - 2023'!AG11</f>
        <v>0</v>
      </c>
      <c r="AH12" s="33">
        <v>0</v>
      </c>
      <c r="AI12" s="33">
        <v>0</v>
      </c>
      <c r="AJ12" s="33">
        <v>0</v>
      </c>
      <c r="AK12" s="33">
        <v>0</v>
      </c>
      <c r="AL12" s="33">
        <v>0</v>
      </c>
      <c r="AM12" s="33">
        <v>0.1</v>
      </c>
      <c r="AN12" s="33">
        <v>-0.1</v>
      </c>
      <c r="AO12" s="33">
        <v>0</v>
      </c>
      <c r="AP12" s="33">
        <v>0.161</v>
      </c>
      <c r="AQ12" s="33">
        <v>0</v>
      </c>
      <c r="AR12" s="33">
        <v>0</v>
      </c>
      <c r="AS12" s="33">
        <v>0</v>
      </c>
      <c r="AT12" s="33">
        <v>-0.90000000000000036</v>
      </c>
      <c r="AU12" s="33">
        <v>0.60000000000000053</v>
      </c>
      <c r="AV12" s="33">
        <v>5.6</v>
      </c>
      <c r="AW12" s="33">
        <v>0</v>
      </c>
    </row>
    <row r="13" spans="2:49" x14ac:dyDescent="0.3">
      <c r="B13" s="5" t="s">
        <v>144</v>
      </c>
      <c r="C13" s="33">
        <f>+'CF YTD 2012 - 2023'!C12-'CF YTD 2012 - 2023'!D12</f>
        <v>0</v>
      </c>
      <c r="D13" s="33">
        <f>+'CF YTD 2012 - 2023'!D12-'CF YTD 2012 - 2023'!E12</f>
        <v>0</v>
      </c>
      <c r="E13" s="33">
        <f>+'CF YTD 2012 - 2023'!E12-'CF YTD 2012 - 2023'!AX12</f>
        <v>0</v>
      </c>
      <c r="F13" s="33">
        <f>+'CF YTD 2012 - 2023'!F12-'CF YTD 2012 - 2023'!G12</f>
        <v>0</v>
      </c>
      <c r="G13" s="33">
        <f>+'CF YTD 2012 - 2023'!G12-'CF YTD 2012 - 2023'!H12</f>
        <v>0</v>
      </c>
      <c r="H13" s="33">
        <f>+'CF YTD 2012 - 2023'!H12-'CF YTD 2012 - 2023'!I12</f>
        <v>0</v>
      </c>
      <c r="I13" s="33">
        <f>+'CF YTD 2012 - 2023'!I12-'CF YTD 2012 - 2023'!BB12</f>
        <v>0</v>
      </c>
      <c r="J13" s="33">
        <f>+'CF YTD 2012 - 2023'!J12-'CF YTD 2012 - 2023'!K12</f>
        <v>0</v>
      </c>
      <c r="K13" s="33">
        <f>+'CF YTD 2012 - 2023'!K12-'CF YTD 2012 - 2023'!L12</f>
        <v>0</v>
      </c>
      <c r="L13" s="33">
        <f>+'CF YTD 2012 - 2023'!L12-'CF YTD 2012 - 2023'!M12</f>
        <v>0</v>
      </c>
      <c r="M13" s="33">
        <f>+'CF YTD 2012 - 2023'!M12-'CF YTD 2012 - 2023'!AZ12</f>
        <v>0</v>
      </c>
      <c r="N13" s="33">
        <f>+'CF YTD 2012 - 2023'!N12-'CF YTD 2012 - 2023'!O12</f>
        <v>0</v>
      </c>
      <c r="O13" s="33">
        <f>+'CF YTD 2012 - 2023'!O12-'CF YTD 2012 - 2023'!P12</f>
        <v>0</v>
      </c>
      <c r="P13" s="33">
        <f>+'CF YTD 2012 - 2023'!P12-'CF YTD 2012 - 2023'!Q12</f>
        <v>0</v>
      </c>
      <c r="Q13" s="33">
        <f>+'CF YTD 2012 - 2023'!Q12-'CF YTD 2012 - 2023'!AZ12</f>
        <v>0</v>
      </c>
      <c r="R13" s="33">
        <f>+'CF YTD 2012 - 2023'!R12-'CF YTD 2012 - 2023'!S12</f>
        <v>0</v>
      </c>
      <c r="S13" s="33">
        <f>+'CF YTD 2012 - 2023'!S12-'CF YTD 2012 - 2023'!T12</f>
        <v>0</v>
      </c>
      <c r="T13" s="33">
        <f>+'CF YTD 2012 - 2023'!T12-'CF YTD 2012 - 2023'!U12</f>
        <v>0</v>
      </c>
      <c r="U13" s="33">
        <f>+'CF YTD 2012 - 2023'!U12-'CF YTD 2012 - 2023'!AZ12</f>
        <v>0</v>
      </c>
      <c r="V13" s="33">
        <f>+'CF YTD 2012 - 2023'!V12-'CF YTD 2012 - 2023'!W12</f>
        <v>0</v>
      </c>
      <c r="W13" s="33">
        <f>+'CF YTD 2012 - 2023'!W12-'CF YTD 2012 - 2023'!X12</f>
        <v>0</v>
      </c>
      <c r="X13" s="33">
        <f>+'CF YTD 2012 - 2023'!X12-'CF YTD 2012 - 2023'!Y12</f>
        <v>0</v>
      </c>
      <c r="Y13" s="33">
        <f>+'CF YTD 2012 - 2023'!Y12-'CF YTD 2012 - 2023'!AX12</f>
        <v>0</v>
      </c>
      <c r="Z13" s="33">
        <f>+'CF YTD 2012 - 2023'!Z12-'CF YTD 2012 - 2023'!AA12</f>
        <v>-47.9</v>
      </c>
      <c r="AA13" s="33">
        <f>+'CF YTD 2012 - 2023'!AA12-'CF YTD 2012 - 2023'!AB12</f>
        <v>47.9</v>
      </c>
      <c r="AB13" s="33">
        <f>+'CF YTD 2012 - 2023'!AB12-'CF YTD 2012 - 2023'!AC12</f>
        <v>0</v>
      </c>
      <c r="AC13" s="33">
        <f>+'CF YTD 2012 - 2023'!AC12-'CF YTD 2012 - 2023'!AX12</f>
        <v>0</v>
      </c>
      <c r="AD13" s="33">
        <f>+'CF YTD 2012 - 2023'!AD12-'CF YTD 2012 - 2023'!AE12</f>
        <v>0</v>
      </c>
      <c r="AE13" s="33">
        <f>+'CF YTD 2012 - 2023'!AE12-'CF YTD 2012 - 2023'!AF12</f>
        <v>0</v>
      </c>
      <c r="AF13" s="33">
        <f>+'CF YTD 2012 - 2023'!AF12-'CF YTD 2012 - 2023'!AG12</f>
        <v>0</v>
      </c>
      <c r="AG13" s="33">
        <f>+'CF YTD 2012 - 2023'!AG12</f>
        <v>0</v>
      </c>
      <c r="AH13" s="33">
        <v>-1.7000000000000028</v>
      </c>
      <c r="AI13" s="33">
        <v>-39.9</v>
      </c>
      <c r="AJ13" s="33">
        <v>0</v>
      </c>
      <c r="AK13" s="33">
        <v>0</v>
      </c>
      <c r="AL13" s="33">
        <v>0</v>
      </c>
      <c r="AM13" s="33">
        <v>0</v>
      </c>
      <c r="AN13" s="33">
        <v>0</v>
      </c>
      <c r="AO13" s="33">
        <v>0</v>
      </c>
      <c r="AP13" s="33">
        <v>0</v>
      </c>
      <c r="AQ13" s="33">
        <v>0</v>
      </c>
      <c r="AR13" s="33">
        <v>0</v>
      </c>
      <c r="AS13" s="33">
        <v>0</v>
      </c>
      <c r="AT13" s="33">
        <v>0</v>
      </c>
      <c r="AU13" s="33">
        <v>0</v>
      </c>
      <c r="AV13" s="33">
        <v>0</v>
      </c>
      <c r="AW13" s="33">
        <v>0</v>
      </c>
    </row>
    <row r="14" spans="2:49" x14ac:dyDescent="0.3">
      <c r="B14" s="5" t="s">
        <v>59</v>
      </c>
      <c r="C14" s="33">
        <f>+'CF YTD 2012 - 2023'!C13-'CF YTD 2012 - 2023'!D13</f>
        <v>-231.59999999999997</v>
      </c>
      <c r="D14" s="33">
        <f>+'CF YTD 2012 - 2023'!D13-'CF YTD 2012 - 2023'!E13</f>
        <v>-174.5</v>
      </c>
      <c r="E14" s="33">
        <f>+'CF YTD 2012 - 2023'!E13-'CF YTD 2012 - 2023'!AX13</f>
        <v>-285.3</v>
      </c>
      <c r="F14" s="33">
        <f>+'CF YTD 2012 - 2023'!F13-'CF YTD 2012 - 2023'!G13</f>
        <v>-327.8</v>
      </c>
      <c r="G14" s="33">
        <f>+'CF YTD 2012 - 2023'!G13-'CF YTD 2012 - 2023'!H13</f>
        <v>-72.800000000000011</v>
      </c>
      <c r="H14" s="33">
        <f>+'CF YTD 2012 - 2023'!H13-'CF YTD 2012 - 2023'!I13</f>
        <v>85.1</v>
      </c>
      <c r="I14" s="33">
        <f>+'CF YTD 2012 - 2023'!I13-'CF YTD 2012 - 2023'!BB13</f>
        <v>-123.5</v>
      </c>
      <c r="J14" s="33">
        <f>+'CF YTD 2012 - 2023'!J13-'CF YTD 2012 - 2023'!K13</f>
        <v>73.2</v>
      </c>
      <c r="K14" s="33">
        <f>+'CF YTD 2012 - 2023'!K13-'CF YTD 2012 - 2023'!L13</f>
        <v>114.30000000000001</v>
      </c>
      <c r="L14" s="33">
        <f>+'CF YTD 2012 - 2023'!L13-'CF YTD 2012 - 2023'!M13</f>
        <v>-114.7</v>
      </c>
      <c r="M14" s="33">
        <f>+'CF YTD 2012 - 2023'!M13-'CF YTD 2012 - 2023'!AZ13</f>
        <v>-31.7</v>
      </c>
      <c r="N14" s="33">
        <f>+'CF YTD 2012 - 2023'!N13-'CF YTD 2012 - 2023'!O13</f>
        <v>-163.60000000000002</v>
      </c>
      <c r="O14" s="33">
        <f>+'CF YTD 2012 - 2023'!O13-'CF YTD 2012 - 2023'!P13</f>
        <v>-202.89999999999998</v>
      </c>
      <c r="P14" s="33">
        <f>+'CF YTD 2012 - 2023'!P13-'CF YTD 2012 - 2023'!Q13</f>
        <v>32.200000000000003</v>
      </c>
      <c r="Q14" s="33">
        <f>+'CF YTD 2012 - 2023'!Q13-'CF YTD 2012 - 2023'!AZ13</f>
        <v>-86</v>
      </c>
      <c r="R14" s="33">
        <f>+'CF YTD 2012 - 2023'!R13-'CF YTD 2012 - 2023'!S13</f>
        <v>-22.400000000000002</v>
      </c>
      <c r="S14" s="33">
        <f>+'CF YTD 2012 - 2023'!S13-'CF YTD 2012 - 2023'!T13</f>
        <v>18.8</v>
      </c>
      <c r="T14" s="33">
        <f>+'CF YTD 2012 - 2023'!T13-'CF YTD 2012 - 2023'!U13</f>
        <v>-22.9</v>
      </c>
      <c r="U14" s="33">
        <f>+'CF YTD 2012 - 2023'!U13-'CF YTD 2012 - 2023'!AZ13</f>
        <v>4.4000000000000004</v>
      </c>
      <c r="V14" s="33">
        <f>+'CF YTD 2012 - 2023'!V13-'CF YTD 2012 - 2023'!W13</f>
        <v>52.300000000000004</v>
      </c>
      <c r="W14" s="33">
        <f>+'CF YTD 2012 - 2023'!W13-'CF YTD 2012 - 2023'!X13</f>
        <v>8.7999999999999972</v>
      </c>
      <c r="X14" s="33">
        <f>+'CF YTD 2012 - 2023'!X13-'CF YTD 2012 - 2023'!Y13</f>
        <v>-26.4</v>
      </c>
      <c r="Y14" s="33">
        <f>+'CF YTD 2012 - 2023'!Y13-'CF YTD 2012 - 2023'!AX13</f>
        <v>-1.5</v>
      </c>
      <c r="Z14" s="33">
        <f>+'CF YTD 2012 - 2023'!Z13-'CF YTD 2012 - 2023'!AA13</f>
        <v>-15.099999999999994</v>
      </c>
      <c r="AA14" s="33">
        <f>+'CF YTD 2012 - 2023'!AA13-'CF YTD 2012 - 2023'!AB13</f>
        <v>55.8</v>
      </c>
      <c r="AB14" s="33">
        <f>+'CF YTD 2012 - 2023'!AB13-'CF YTD 2012 - 2023'!AC13</f>
        <v>34.199999999999996</v>
      </c>
      <c r="AC14" s="33">
        <f>+'CF YTD 2012 - 2023'!AC13-'CF YTD 2012 - 2023'!AX13</f>
        <v>-39.799999999999997</v>
      </c>
      <c r="AD14" s="33">
        <f>+'CF YTD 2012 - 2023'!AD13-'CF YTD 2012 - 2023'!AE13</f>
        <v>6.5</v>
      </c>
      <c r="AE14" s="33">
        <f>+'CF YTD 2012 - 2023'!AE13-'CF YTD 2012 - 2023'!AF13</f>
        <v>39.300000000000004</v>
      </c>
      <c r="AF14" s="33">
        <f>+'CF YTD 2012 - 2023'!AF13-'CF YTD 2012 - 2023'!AG13</f>
        <v>-78</v>
      </c>
      <c r="AG14" s="33">
        <f>+'CF YTD 2012 - 2023'!AG13</f>
        <v>-23.7</v>
      </c>
      <c r="AH14" s="33">
        <v>63.099999999999994</v>
      </c>
      <c r="AI14" s="33">
        <v>-13.599999999999998</v>
      </c>
      <c r="AJ14" s="33">
        <v>1.8000000000000007</v>
      </c>
      <c r="AK14" s="33">
        <v>-20.5</v>
      </c>
      <c r="AL14" s="33">
        <v>110.89999999999999</v>
      </c>
      <c r="AM14" s="33">
        <v>3.6</v>
      </c>
      <c r="AN14" s="33">
        <v>-31.7</v>
      </c>
      <c r="AO14" s="33">
        <v>29</v>
      </c>
      <c r="AP14" s="33">
        <v>-15.949</v>
      </c>
      <c r="AQ14" s="33">
        <v>15.5</v>
      </c>
      <c r="AR14" s="33">
        <v>-48.6</v>
      </c>
      <c r="AS14" s="33">
        <v>44.6</v>
      </c>
      <c r="AT14" s="33">
        <v>26.2</v>
      </c>
      <c r="AU14" s="33">
        <v>7.2999999999999972</v>
      </c>
      <c r="AV14" s="33">
        <v>10.400000000000006</v>
      </c>
      <c r="AW14" s="33">
        <v>-54.2</v>
      </c>
    </row>
    <row r="15" spans="2:49" x14ac:dyDescent="0.3">
      <c r="B15" s="5" t="s">
        <v>60</v>
      </c>
      <c r="C15" s="33">
        <f>+'CF YTD 2012 - 2023'!C14-'CF YTD 2012 - 2023'!D14</f>
        <v>88.5</v>
      </c>
      <c r="D15" s="33">
        <f>+'CF YTD 2012 - 2023'!D14-'CF YTD 2012 - 2023'!E14</f>
        <v>-514.1</v>
      </c>
      <c r="E15" s="33">
        <f>+'CF YTD 2012 - 2023'!E14-'CF YTD 2012 - 2023'!AX14</f>
        <v>-266.10000000000002</v>
      </c>
      <c r="F15" s="33">
        <f>+'CF YTD 2012 - 2023'!F14-'CF YTD 2012 - 2023'!G14</f>
        <v>20.5</v>
      </c>
      <c r="G15" s="33">
        <f>+'CF YTD 2012 - 2023'!G14-'CF YTD 2012 - 2023'!H14</f>
        <v>-134.5</v>
      </c>
      <c r="H15" s="33">
        <f>+'CF YTD 2012 - 2023'!H14-'CF YTD 2012 - 2023'!I14</f>
        <v>-188.29999999999998</v>
      </c>
      <c r="I15" s="33">
        <f>+'CF YTD 2012 - 2023'!I14-'CF YTD 2012 - 2023'!BB14</f>
        <v>169.1</v>
      </c>
      <c r="J15" s="33">
        <f>+'CF YTD 2012 - 2023'!J14-'CF YTD 2012 - 2023'!K14</f>
        <v>-150.49999999999997</v>
      </c>
      <c r="K15" s="33">
        <f>+'CF YTD 2012 - 2023'!K14-'CF YTD 2012 - 2023'!L14</f>
        <v>-4</v>
      </c>
      <c r="L15" s="33">
        <f>+'CF YTD 2012 - 2023'!L14-'CF YTD 2012 - 2023'!M14</f>
        <v>-199.5</v>
      </c>
      <c r="M15" s="33">
        <f>+'CF YTD 2012 - 2023'!M14-'CF YTD 2012 - 2023'!AZ14</f>
        <v>-10.4</v>
      </c>
      <c r="N15" s="33">
        <f>+'CF YTD 2012 - 2023'!N14-'CF YTD 2012 - 2023'!O14</f>
        <v>-29.699999999999996</v>
      </c>
      <c r="O15" s="33">
        <f>+'CF YTD 2012 - 2023'!O14-'CF YTD 2012 - 2023'!P14</f>
        <v>187.7</v>
      </c>
      <c r="P15" s="33">
        <f>+'CF YTD 2012 - 2023'!P14-'CF YTD 2012 - 2023'!Q14</f>
        <v>-107.4</v>
      </c>
      <c r="Q15" s="33">
        <f>+'CF YTD 2012 - 2023'!Q14-'CF YTD 2012 - 2023'!AZ14</f>
        <v>-138.69999999999999</v>
      </c>
      <c r="R15" s="33">
        <f>+'CF YTD 2012 - 2023'!R14-'CF YTD 2012 - 2023'!S14</f>
        <v>-0.30000000000000071</v>
      </c>
      <c r="S15" s="33">
        <f>+'CF YTD 2012 - 2023'!S14-'CF YTD 2012 - 2023'!T14</f>
        <v>41.1</v>
      </c>
      <c r="T15" s="33">
        <f>+'CF YTD 2012 - 2023'!T14-'CF YTD 2012 - 2023'!U14</f>
        <v>-73.5</v>
      </c>
      <c r="U15" s="33">
        <f>+'CF YTD 2012 - 2023'!U14-'CF YTD 2012 - 2023'!AZ14</f>
        <v>48.5</v>
      </c>
      <c r="V15" s="33">
        <f>+'CF YTD 2012 - 2023'!V14-'CF YTD 2012 - 2023'!W14</f>
        <v>-30.8</v>
      </c>
      <c r="W15" s="33">
        <f>+'CF YTD 2012 - 2023'!W14-'CF YTD 2012 - 2023'!X14</f>
        <v>11</v>
      </c>
      <c r="X15" s="33">
        <f>+'CF YTD 2012 - 2023'!X14-'CF YTD 2012 - 2023'!Y14</f>
        <v>-26.6</v>
      </c>
      <c r="Y15" s="33">
        <f>+'CF YTD 2012 - 2023'!Y14-'CF YTD 2012 - 2023'!AX14</f>
        <v>6.4</v>
      </c>
      <c r="Z15" s="33">
        <f>+'CF YTD 2012 - 2023'!Z14-'CF YTD 2012 - 2023'!AA14</f>
        <v>2.1999999999999886</v>
      </c>
      <c r="AA15" s="33">
        <f>+'CF YTD 2012 - 2023'!AA14-'CF YTD 2012 - 2023'!AB14</f>
        <v>-22.5</v>
      </c>
      <c r="AB15" s="33">
        <f>+'CF YTD 2012 - 2023'!AB14-'CF YTD 2012 - 2023'!AC14</f>
        <v>2</v>
      </c>
      <c r="AC15" s="33">
        <f>+'CF YTD 2012 - 2023'!AC14-'CF YTD 2012 - 2023'!AX14</f>
        <v>132.4</v>
      </c>
      <c r="AD15" s="33">
        <f>+'CF YTD 2012 - 2023'!AD14-'CF YTD 2012 - 2023'!AE14</f>
        <v>356.3</v>
      </c>
      <c r="AE15" s="33">
        <f>+'CF YTD 2012 - 2023'!AE14-'CF YTD 2012 - 2023'!AF14</f>
        <v>-443.90000000000003</v>
      </c>
      <c r="AF15" s="33">
        <f>+'CF YTD 2012 - 2023'!AF14-'CF YTD 2012 - 2023'!AG14</f>
        <v>13.599999999999994</v>
      </c>
      <c r="AG15" s="33">
        <f>+'CF YTD 2012 - 2023'!AG14</f>
        <v>94.7</v>
      </c>
      <c r="AH15" s="33">
        <v>-21.5</v>
      </c>
      <c r="AI15" s="33">
        <v>-179.9</v>
      </c>
      <c r="AJ15" s="33">
        <v>-104.79999999999998</v>
      </c>
      <c r="AK15" s="33">
        <v>334.2</v>
      </c>
      <c r="AL15" s="33">
        <v>-20.599999999999994</v>
      </c>
      <c r="AM15" s="33">
        <v>-58.400000000000006</v>
      </c>
      <c r="AN15" s="33">
        <v>15.6</v>
      </c>
      <c r="AO15" s="33">
        <v>-14.9</v>
      </c>
      <c r="AP15" s="33">
        <v>91.856999999999999</v>
      </c>
      <c r="AQ15" s="33">
        <v>-92.5</v>
      </c>
      <c r="AR15" s="33">
        <v>-6.1</v>
      </c>
      <c r="AS15" s="33">
        <v>-12.1</v>
      </c>
      <c r="AT15" s="33">
        <v>91.300000000000011</v>
      </c>
      <c r="AU15" s="33">
        <v>63.699999999999996</v>
      </c>
      <c r="AV15" s="33">
        <v>-28.4</v>
      </c>
      <c r="AW15" s="33">
        <v>82.3</v>
      </c>
    </row>
    <row r="16" spans="2:49" x14ac:dyDescent="0.3">
      <c r="B16" s="5" t="s">
        <v>61</v>
      </c>
      <c r="C16" s="33">
        <f>+'CF YTD 2012 - 2023'!C15-'CF YTD 2012 - 2023'!D15</f>
        <v>0.8</v>
      </c>
      <c r="D16" s="33">
        <f>+'CF YTD 2012 - 2023'!D15-'CF YTD 2012 - 2023'!E15</f>
        <v>-0.4</v>
      </c>
      <c r="E16" s="33">
        <f>+'CF YTD 2012 - 2023'!E15-'CF YTD 2012 - 2023'!AX15</f>
        <v>0</v>
      </c>
      <c r="F16" s="33">
        <f>+'CF YTD 2012 - 2023'!F15-'CF YTD 2012 - 2023'!G15</f>
        <v>0</v>
      </c>
      <c r="G16" s="33">
        <f>+'CF YTD 2012 - 2023'!G15-'CF YTD 2012 - 2023'!H15</f>
        <v>0</v>
      </c>
      <c r="H16" s="33">
        <f>+'CF YTD 2012 - 2023'!H15-'CF YTD 2012 - 2023'!I15</f>
        <v>0</v>
      </c>
      <c r="I16" s="33">
        <f>+'CF YTD 2012 - 2023'!I15-'CF YTD 2012 - 2023'!BB15</f>
        <v>0</v>
      </c>
      <c r="J16" s="33">
        <f>+'CF YTD 2012 - 2023'!J15-'CF YTD 2012 - 2023'!K15</f>
        <v>0</v>
      </c>
      <c r="K16" s="33">
        <f>+'CF YTD 2012 - 2023'!K15-'CF YTD 2012 - 2023'!L15</f>
        <v>0</v>
      </c>
      <c r="L16" s="33">
        <f>+'CF YTD 2012 - 2023'!L15-'CF YTD 2012 - 2023'!M15</f>
        <v>0</v>
      </c>
      <c r="M16" s="33">
        <f>+'CF YTD 2012 - 2023'!M15-'CF YTD 2012 - 2023'!AZ15</f>
        <v>0</v>
      </c>
      <c r="N16" s="33">
        <f>+'CF YTD 2012 - 2023'!N15-'CF YTD 2012 - 2023'!O15</f>
        <v>0</v>
      </c>
      <c r="O16" s="33">
        <f>+'CF YTD 2012 - 2023'!O15-'CF YTD 2012 - 2023'!P15</f>
        <v>0</v>
      </c>
      <c r="P16" s="33">
        <f>+'CF YTD 2012 - 2023'!P15-'CF YTD 2012 - 2023'!Q15</f>
        <v>0</v>
      </c>
      <c r="Q16" s="33">
        <f>+'CF YTD 2012 - 2023'!Q15-'CF YTD 2012 - 2023'!AZ15</f>
        <v>0</v>
      </c>
      <c r="R16" s="33">
        <f>+'CF YTD 2012 - 2023'!R15-'CF YTD 2012 - 2023'!S15</f>
        <v>0</v>
      </c>
      <c r="S16" s="33">
        <f>+'CF YTD 2012 - 2023'!S15-'CF YTD 2012 - 2023'!T15</f>
        <v>0</v>
      </c>
      <c r="T16" s="33">
        <f>+'CF YTD 2012 - 2023'!T15-'CF YTD 2012 - 2023'!U15</f>
        <v>0</v>
      </c>
      <c r="U16" s="33">
        <f>+'CF YTD 2012 - 2023'!U15-'CF YTD 2012 - 2023'!AZ15</f>
        <v>0</v>
      </c>
      <c r="V16" s="33">
        <f>+'CF YTD 2012 - 2023'!V15-'CF YTD 2012 - 2023'!W15</f>
        <v>0</v>
      </c>
      <c r="W16" s="33">
        <f>+'CF YTD 2012 - 2023'!W15-'CF YTD 2012 - 2023'!X15</f>
        <v>0</v>
      </c>
      <c r="X16" s="33">
        <f>+'CF YTD 2012 - 2023'!X15-'CF YTD 2012 - 2023'!Y15</f>
        <v>0</v>
      </c>
      <c r="Y16" s="33">
        <f>+'CF YTD 2012 - 2023'!Y15-'CF YTD 2012 - 2023'!AX15</f>
        <v>0</v>
      </c>
      <c r="Z16" s="33">
        <f>+'CF YTD 2012 - 2023'!Z15-'CF YTD 2012 - 2023'!AA15</f>
        <v>0</v>
      </c>
      <c r="AA16" s="33">
        <f>+'CF YTD 2012 - 2023'!AA15-'CF YTD 2012 - 2023'!AB15</f>
        <v>0</v>
      </c>
      <c r="AB16" s="33">
        <f>+'CF YTD 2012 - 2023'!AB15-'CF YTD 2012 - 2023'!AC15</f>
        <v>0</v>
      </c>
      <c r="AC16" s="33">
        <f>+'CF YTD 2012 - 2023'!AC15-'CF YTD 2012 - 2023'!AX15</f>
        <v>0</v>
      </c>
      <c r="AD16" s="33">
        <f>+'CF YTD 2012 - 2023'!AD15-'CF YTD 2012 - 2023'!AE15</f>
        <v>9.9999999999999978E-2</v>
      </c>
      <c r="AE16" s="33">
        <f>+'CF YTD 2012 - 2023'!AE15-'CF YTD 2012 - 2023'!AF15</f>
        <v>0</v>
      </c>
      <c r="AF16" s="33">
        <f>+'CF YTD 2012 - 2023'!AF15-'CF YTD 2012 - 2023'!AG15</f>
        <v>0</v>
      </c>
      <c r="AG16" s="33">
        <f>+'CF YTD 2012 - 2023'!AG15</f>
        <v>-0.6</v>
      </c>
      <c r="AH16" s="33">
        <v>1.2000000000000002</v>
      </c>
      <c r="AI16" s="33">
        <v>-2.1</v>
      </c>
      <c r="AJ16" s="33">
        <v>0</v>
      </c>
      <c r="AK16" s="33">
        <v>0</v>
      </c>
      <c r="AL16" s="33">
        <v>3.9</v>
      </c>
      <c r="AM16" s="33">
        <v>-0.4</v>
      </c>
      <c r="AN16" s="33">
        <v>0</v>
      </c>
      <c r="AO16" s="33">
        <v>0.1</v>
      </c>
      <c r="AP16" s="33">
        <v>-4.7539999999999978</v>
      </c>
      <c r="AQ16" s="33">
        <v>-7.8000000000000007</v>
      </c>
      <c r="AR16" s="33">
        <v>-4.5</v>
      </c>
      <c r="AS16" s="33">
        <v>0.5</v>
      </c>
      <c r="AT16" s="33">
        <v>16.8</v>
      </c>
      <c r="AU16" s="33">
        <v>0</v>
      </c>
      <c r="AV16" s="33">
        <v>0</v>
      </c>
      <c r="AW16" s="33">
        <v>0</v>
      </c>
    </row>
    <row r="17" spans="2:49" x14ac:dyDescent="0.3">
      <c r="B17" s="15" t="s">
        <v>62</v>
      </c>
      <c r="C17" s="39">
        <f>+'CF YTD 2012 - 2023'!C16-'CF YTD 2012 - 2023'!D16</f>
        <v>45.100000000000023</v>
      </c>
      <c r="D17" s="39">
        <f>+'CF YTD 2012 - 2023'!D16-'CF YTD 2012 - 2023'!E16</f>
        <v>438.2</v>
      </c>
      <c r="E17" s="39">
        <f>+'CF YTD 2012 - 2023'!E16-'CF YTD 2012 - 2023'!AX16</f>
        <v>-146.19999999999999</v>
      </c>
      <c r="F17" s="39">
        <f>+'CF YTD 2012 - 2023'!F16-'CF YTD 2012 - 2023'!G16</f>
        <v>205.7</v>
      </c>
      <c r="G17" s="39">
        <f>+'CF YTD 2012 - 2023'!G16-'CF YTD 2012 - 2023'!H16</f>
        <v>107.49999999999999</v>
      </c>
      <c r="H17" s="39">
        <f>+'CF YTD 2012 - 2023'!H16-'CF YTD 2012 - 2023'!I16</f>
        <v>48</v>
      </c>
      <c r="I17" s="39">
        <f>+'CF YTD 2012 - 2023'!I16-'CF YTD 2012 - 2023'!BB16</f>
        <v>62.2</v>
      </c>
      <c r="J17" s="39">
        <f>+'CF YTD 2012 - 2023'!J16-'CF YTD 2012 - 2023'!K16</f>
        <v>-48.099999999999994</v>
      </c>
      <c r="K17" s="39">
        <f>+'CF YTD 2012 - 2023'!K16-'CF YTD 2012 - 2023'!L16</f>
        <v>-59.600000000000009</v>
      </c>
      <c r="L17" s="39">
        <f>+'CF YTD 2012 - 2023'!L16-'CF YTD 2012 - 2023'!M16</f>
        <v>58.5</v>
      </c>
      <c r="M17" s="39">
        <f>+'CF YTD 2012 - 2023'!M16-'CF YTD 2012 - 2023'!AZ16</f>
        <v>-96.8</v>
      </c>
      <c r="N17" s="39">
        <f>+'CF YTD 2012 - 2023'!N16-'CF YTD 2012 - 2023'!O16</f>
        <v>43.099999999999966</v>
      </c>
      <c r="O17" s="39">
        <f>+'CF YTD 2012 - 2023'!O16-'CF YTD 2012 - 2023'!P16</f>
        <v>172.20000000000002</v>
      </c>
      <c r="P17" s="39">
        <f>+'CF YTD 2012 - 2023'!P16-'CF YTD 2012 - 2023'!Q16</f>
        <v>44.2</v>
      </c>
      <c r="Q17" s="39">
        <f>+'CF YTD 2012 - 2023'!Q16-'CF YTD 2012 - 2023'!AZ16</f>
        <v>86.2</v>
      </c>
      <c r="R17" s="39">
        <f>+'CF YTD 2012 - 2023'!R16-'CF YTD 2012 - 2023'!S16</f>
        <v>0.89999999999999858</v>
      </c>
      <c r="S17" s="39">
        <f>+'CF YTD 2012 - 2023'!S16-'CF YTD 2012 - 2023'!T16</f>
        <v>-20.100000000000001</v>
      </c>
      <c r="T17" s="39">
        <f>+'CF YTD 2012 - 2023'!T16-'CF YTD 2012 - 2023'!U16</f>
        <v>11.200000000000003</v>
      </c>
      <c r="U17" s="39">
        <f>+'CF YTD 2012 - 2023'!U16-'CF YTD 2012 - 2023'!AZ16</f>
        <v>-43.2</v>
      </c>
      <c r="V17" s="39">
        <f>+'CF YTD 2012 - 2023'!V16-'CF YTD 2012 - 2023'!W16</f>
        <v>58.1</v>
      </c>
      <c r="W17" s="39">
        <f>+'CF YTD 2012 - 2023'!W16-'CF YTD 2012 - 2023'!X16</f>
        <v>-40.799999999999997</v>
      </c>
      <c r="X17" s="39">
        <f>+'CF YTD 2012 - 2023'!X16-'CF YTD 2012 - 2023'!Y16</f>
        <v>32.400000000000006</v>
      </c>
      <c r="Y17" s="39">
        <f>+'CF YTD 2012 - 2023'!Y16-'CF YTD 2012 - 2023'!AX16</f>
        <v>-60.6</v>
      </c>
      <c r="Z17" s="39">
        <f>+'CF YTD 2012 - 2023'!Z16-'CF YTD 2012 - 2023'!AA16</f>
        <v>0.30000000000001137</v>
      </c>
      <c r="AA17" s="39">
        <f>+'CF YTD 2012 - 2023'!AA16-'CF YTD 2012 - 2023'!AB16</f>
        <v>-629.70000000000005</v>
      </c>
      <c r="AB17" s="39">
        <f>+'CF YTD 2012 - 2023'!AB16-'CF YTD 2012 - 2023'!AC16</f>
        <v>112.89999999999999</v>
      </c>
      <c r="AC17" s="39">
        <f>+'CF YTD 2012 - 2023'!AC16-'CF YTD 2012 - 2023'!AX16</f>
        <v>54.2</v>
      </c>
      <c r="AD17" s="39">
        <f>+'CF YTD 2012 - 2023'!AD16-'CF YTD 2012 - 2023'!AE16</f>
        <v>91.6</v>
      </c>
      <c r="AE17" s="39">
        <f>+'CF YTD 2012 - 2023'!AE16-'CF YTD 2012 - 2023'!AF16</f>
        <v>-10.299999999999997</v>
      </c>
      <c r="AF17" s="39">
        <f>+'CF YTD 2012 - 2023'!AF16-'CF YTD 2012 - 2023'!AG16</f>
        <v>31.4</v>
      </c>
      <c r="AG17" s="39">
        <f>+'CF YTD 2012 - 2023'!AG16</f>
        <v>13.5</v>
      </c>
      <c r="AH17" s="39">
        <v>-241.4</v>
      </c>
      <c r="AI17" s="39">
        <v>266.7</v>
      </c>
      <c r="AJ17" s="39">
        <v>-319.2</v>
      </c>
      <c r="AK17" s="39">
        <v>281.5</v>
      </c>
      <c r="AL17" s="39">
        <v>304.7</v>
      </c>
      <c r="AM17" s="39">
        <v>22.099999999999994</v>
      </c>
      <c r="AN17" s="39">
        <v>-27.399999999999991</v>
      </c>
      <c r="AO17" s="39">
        <v>-119.2</v>
      </c>
      <c r="AP17" s="39">
        <v>23.550999999999998</v>
      </c>
      <c r="AQ17" s="39">
        <v>-51.3</v>
      </c>
      <c r="AR17" s="39">
        <v>123.1</v>
      </c>
      <c r="AS17" s="39">
        <v>-123.6</v>
      </c>
      <c r="AT17" s="39">
        <v>-56.900000000000006</v>
      </c>
      <c r="AU17" s="39">
        <v>-72.900000000000006</v>
      </c>
      <c r="AV17" s="39">
        <v>-37.099999999999994</v>
      </c>
      <c r="AW17" s="39">
        <v>-60</v>
      </c>
    </row>
    <row r="18" spans="2:49" ht="6" customHeight="1" x14ac:dyDescent="0.3"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</row>
    <row r="19" spans="2:49" x14ac:dyDescent="0.3">
      <c r="B19" s="8" t="s">
        <v>63</v>
      </c>
      <c r="C19" s="40">
        <f t="shared" ref="C19:D19" si="0">SUM(C7:C17)</f>
        <v>296.50000000000017</v>
      </c>
      <c r="D19" s="40">
        <f t="shared" si="0"/>
        <v>450.29999999999978</v>
      </c>
      <c r="E19" s="40">
        <f t="shared" ref="E19:F19" si="1">SUM(E7:E17)</f>
        <v>-199.50000000000011</v>
      </c>
      <c r="F19" s="40">
        <f t="shared" si="1"/>
        <v>228.3</v>
      </c>
      <c r="G19" s="40">
        <f t="shared" ref="G19:H19" si="2">SUM(G7:G17)</f>
        <v>134.49999999999994</v>
      </c>
      <c r="H19" s="40">
        <f t="shared" si="2"/>
        <v>-154.59999999999997</v>
      </c>
      <c r="I19" s="40">
        <f t="shared" ref="I19:J19" si="3">SUM(I7:I17)</f>
        <v>20.700000000000031</v>
      </c>
      <c r="J19" s="40">
        <f t="shared" si="3"/>
        <v>-92.699999999999463</v>
      </c>
      <c r="K19" s="40">
        <f t="shared" ref="K19:L19" si="4">SUM(K7:K17)</f>
        <v>123.2</v>
      </c>
      <c r="L19" s="40">
        <f t="shared" si="4"/>
        <v>-256.8</v>
      </c>
      <c r="M19" s="40">
        <f t="shared" ref="M19:N19" si="5">SUM(M7:M17)</f>
        <v>-111.40000000000006</v>
      </c>
      <c r="N19" s="40">
        <f t="shared" si="5"/>
        <v>-402.99999999999983</v>
      </c>
      <c r="O19" s="40">
        <f t="shared" ref="O19:P19" si="6">SUM(O7:O17)</f>
        <v>327</v>
      </c>
      <c r="P19" s="40">
        <f t="shared" si="6"/>
        <v>245.10000000000002</v>
      </c>
      <c r="Q19" s="40">
        <f t="shared" ref="Q19:R19" si="7">SUM(Q7:Q17)</f>
        <v>440.9</v>
      </c>
      <c r="R19" s="40">
        <f t="shared" si="7"/>
        <v>-10.00000000000005</v>
      </c>
      <c r="S19" s="40">
        <f t="shared" ref="S19:T19" si="8">SUM(S7:S17)</f>
        <v>-36.899999999999991</v>
      </c>
      <c r="T19" s="40">
        <f t="shared" si="8"/>
        <v>-163.29999999999995</v>
      </c>
      <c r="U19" s="40">
        <f t="shared" ref="U19:V19" si="9">SUM(U7:U17)</f>
        <v>-70.100000000000023</v>
      </c>
      <c r="V19" s="40">
        <f t="shared" si="9"/>
        <v>5.4000000000000412</v>
      </c>
      <c r="W19" s="40">
        <f t="shared" ref="W19:X19" si="10">SUM(W7:W17)</f>
        <v>15.499999999999972</v>
      </c>
      <c r="X19" s="40">
        <f t="shared" si="10"/>
        <v>-107.69999999999999</v>
      </c>
      <c r="Y19" s="40">
        <f t="shared" ref="Y19:Z19" si="11">SUM(Y7:Y17)</f>
        <v>-209.89999999999998</v>
      </c>
      <c r="Z19" s="40">
        <f t="shared" si="11"/>
        <v>-177.99999999999997</v>
      </c>
      <c r="AA19" s="40">
        <f t="shared" ref="AA19:AB19" si="12">SUM(AA7:AA17)</f>
        <v>-90.200000000000159</v>
      </c>
      <c r="AB19" s="40">
        <f t="shared" si="12"/>
        <v>300.7</v>
      </c>
      <c r="AC19" s="40">
        <f t="shared" ref="AC19:AD19" si="13">SUM(AC7:AC17)</f>
        <v>186.7</v>
      </c>
      <c r="AD19" s="40">
        <f t="shared" si="13"/>
        <v>621.10000000000014</v>
      </c>
      <c r="AE19" s="40">
        <f t="shared" ref="AE19:AF19" si="14">SUM(AE7:AE17)</f>
        <v>-231.89999999999998</v>
      </c>
      <c r="AF19" s="40">
        <f t="shared" si="14"/>
        <v>-69.5</v>
      </c>
      <c r="AG19" s="40">
        <f t="shared" ref="AG19" si="15">SUM(AG7:AG17)</f>
        <v>-61.09999999999998</v>
      </c>
      <c r="AH19" s="40">
        <v>-179.10000000000002</v>
      </c>
      <c r="AI19" s="40">
        <v>-40.500000000000057</v>
      </c>
      <c r="AJ19" s="40">
        <v>-282.39999999999998</v>
      </c>
      <c r="AK19" s="40">
        <v>580.4</v>
      </c>
      <c r="AL19" s="40">
        <v>580.89999999999986</v>
      </c>
      <c r="AM19" s="40">
        <v>-63.700000000000017</v>
      </c>
      <c r="AN19" s="40">
        <v>-93.899999999999991</v>
      </c>
      <c r="AO19" s="40">
        <v>-77.5</v>
      </c>
      <c r="AP19" s="40">
        <v>160.78799999999998</v>
      </c>
      <c r="AQ19" s="40">
        <v>-73.2</v>
      </c>
      <c r="AR19" s="40">
        <v>206.7</v>
      </c>
      <c r="AS19" s="40">
        <v>-122.2</v>
      </c>
      <c r="AT19" s="40">
        <v>46.100000000000136</v>
      </c>
      <c r="AU19" s="40">
        <v>48.799999999999955</v>
      </c>
      <c r="AV19" s="40">
        <v>-15.80000000000004</v>
      </c>
      <c r="AW19" s="40">
        <v>-43.599999999999994</v>
      </c>
    </row>
    <row r="20" spans="2:49" ht="9" customHeight="1" x14ac:dyDescent="0.3"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</row>
    <row r="21" spans="2:49" x14ac:dyDescent="0.3">
      <c r="B21" s="5" t="s">
        <v>64</v>
      </c>
      <c r="C21" s="33">
        <f>+'CF YTD 2012 - 2023'!C18-'CF YTD 2012 - 2023'!D18</f>
        <v>11.800000000000004</v>
      </c>
      <c r="D21" s="33">
        <f>+'CF YTD 2012 - 2023'!D18-'CF YTD 2012 - 2023'!E18</f>
        <v>23.099999999999998</v>
      </c>
      <c r="E21" s="33">
        <f>+'CF YTD 2012 - 2023'!E18-'CF YTD 2012 - 2023'!AX18</f>
        <v>7.8</v>
      </c>
      <c r="F21" s="33">
        <f>+'CF YTD 2012 - 2023'!F18-'CF YTD 2012 - 2023'!G18</f>
        <v>0.40000000000000213</v>
      </c>
      <c r="G21" s="33">
        <f>+'CF YTD 2012 - 2023'!G18-'CF YTD 2012 - 2023'!H18</f>
        <v>4.5</v>
      </c>
      <c r="H21" s="33">
        <f>+'CF YTD 2012 - 2023'!H18-'CF YTD 2012 - 2023'!I18</f>
        <v>5.3999999999999986</v>
      </c>
      <c r="I21" s="33">
        <f>+'CF YTD 2012 - 2023'!I18-'CF YTD 2012 - 2023'!BB18</f>
        <v>8.3000000000000007</v>
      </c>
      <c r="J21" s="33">
        <f>+'CF YTD 2012 - 2023'!J18-'CF YTD 2012 - 2023'!K18</f>
        <v>-1.0999999999999996</v>
      </c>
      <c r="K21" s="33">
        <f>+'CF YTD 2012 - 2023'!K18-'CF YTD 2012 - 2023'!L18</f>
        <v>2.8</v>
      </c>
      <c r="L21" s="33">
        <f>+'CF YTD 2012 - 2023'!L18-'CF YTD 2012 - 2023'!M18</f>
        <v>3.8</v>
      </c>
      <c r="M21" s="33">
        <f>+'CF YTD 2012 - 2023'!M18-'CF YTD 2012 - 2023'!AZ18</f>
        <v>0.7</v>
      </c>
      <c r="N21" s="33">
        <f>+'CF YTD 2012 - 2023'!N18-'CF YTD 2012 - 2023'!O18</f>
        <v>2.9</v>
      </c>
      <c r="O21" s="33">
        <f>+'CF YTD 2012 - 2023'!O18-'CF YTD 2012 - 2023'!P18</f>
        <v>1.5</v>
      </c>
      <c r="P21" s="33">
        <f>+'CF YTD 2012 - 2023'!P18-'CF YTD 2012 - 2023'!Q18</f>
        <v>0.89999999999999991</v>
      </c>
      <c r="Q21" s="33">
        <f>+'CF YTD 2012 - 2023'!Q18-'CF YTD 2012 - 2023'!AZ18</f>
        <v>0.5</v>
      </c>
      <c r="R21" s="33">
        <f>+'CF YTD 2012 - 2023'!R18-'CF YTD 2012 - 2023'!S18</f>
        <v>8.7000000000000028</v>
      </c>
      <c r="S21" s="33">
        <f>+'CF YTD 2012 - 2023'!S18-'CF YTD 2012 - 2023'!T18</f>
        <v>2.3999999999999986</v>
      </c>
      <c r="T21" s="33">
        <f>+'CF YTD 2012 - 2023'!T18-'CF YTD 2012 - 2023'!U18</f>
        <v>10.5</v>
      </c>
      <c r="U21" s="33">
        <f>+'CF YTD 2012 - 2023'!U18-'CF YTD 2012 - 2023'!AZ18</f>
        <v>5.5</v>
      </c>
      <c r="V21" s="33">
        <f>+'CF YTD 2012 - 2023'!V18-'CF YTD 2012 - 2023'!W18</f>
        <v>5.0999999999999979</v>
      </c>
      <c r="W21" s="33">
        <f>+'CF YTD 2012 - 2023'!W18-'CF YTD 2012 - 2023'!X18</f>
        <v>7.4000000000000021</v>
      </c>
      <c r="X21" s="33">
        <f>+'CF YTD 2012 - 2023'!X18-'CF YTD 2012 - 2023'!Y18</f>
        <v>10.299999999999999</v>
      </c>
      <c r="Y21" s="33">
        <f>+'CF YTD 2012 - 2023'!Y18-'CF YTD 2012 - 2023'!AX18</f>
        <v>4.9000000000000004</v>
      </c>
      <c r="Z21" s="33">
        <f>+'CF YTD 2012 - 2023'!Z18-'CF YTD 2012 - 2023'!AA18</f>
        <v>3.6999999999999993</v>
      </c>
      <c r="AA21" s="33">
        <f>+'CF YTD 2012 - 2023'!AA18-'CF YTD 2012 - 2023'!AB18</f>
        <v>6.1</v>
      </c>
      <c r="AB21" s="33">
        <f>+'CF YTD 2012 - 2023'!AB18-'CF YTD 2012 - 2023'!AC18</f>
        <v>8.9</v>
      </c>
      <c r="AC21" s="33">
        <f>+'CF YTD 2012 - 2023'!AC18-'CF YTD 2012 - 2023'!AX18</f>
        <v>1</v>
      </c>
      <c r="AD21" s="33">
        <f>+'CF YTD 2012 - 2023'!AD18-'CF YTD 2012 - 2023'!AE18</f>
        <v>9.6000000000000014</v>
      </c>
      <c r="AE21" s="33">
        <f>+'CF YTD 2012 - 2023'!AE18-'CF YTD 2012 - 2023'!AF18</f>
        <v>6.7999999999999989</v>
      </c>
      <c r="AF21" s="33">
        <f>+'CF YTD 2012 - 2023'!AF18-'CF YTD 2012 - 2023'!AG18</f>
        <v>3.7</v>
      </c>
      <c r="AG21" s="33">
        <f>+'CF YTD 2012 - 2023'!AG18</f>
        <v>1.2</v>
      </c>
      <c r="AH21" s="33">
        <v>11.400000000000006</v>
      </c>
      <c r="AI21" s="33">
        <v>6.5999999999999979</v>
      </c>
      <c r="AJ21" s="33">
        <v>-9.5000000000000036</v>
      </c>
      <c r="AK21" s="33">
        <v>35.200000000000003</v>
      </c>
      <c r="AL21" s="33">
        <v>13.499999999999998</v>
      </c>
      <c r="AM21" s="33">
        <v>1.5</v>
      </c>
      <c r="AN21" s="33">
        <v>3.0000000000000004</v>
      </c>
      <c r="AO21" s="33">
        <v>1.4</v>
      </c>
      <c r="AP21" s="33">
        <v>-4.4999999999999929E-2</v>
      </c>
      <c r="AQ21" s="33">
        <v>3.0999999999999996</v>
      </c>
      <c r="AR21" s="33">
        <v>1</v>
      </c>
      <c r="AS21" s="33">
        <v>2.5</v>
      </c>
      <c r="AT21" s="33">
        <v>2.8000000000000007</v>
      </c>
      <c r="AU21" s="33">
        <v>0.59999999999999964</v>
      </c>
      <c r="AV21" s="33">
        <v>2.8000000000000007</v>
      </c>
      <c r="AW21" s="33">
        <v>4.0999999999999996</v>
      </c>
    </row>
    <row r="22" spans="2:49" x14ac:dyDescent="0.3">
      <c r="B22" s="5" t="s">
        <v>65</v>
      </c>
      <c r="C22" s="33">
        <f>+'CF YTD 2012 - 2023'!C19-'CF YTD 2012 - 2023'!D19</f>
        <v>2.7000000000000028</v>
      </c>
      <c r="D22" s="33">
        <f>+'CF YTD 2012 - 2023'!D19-'CF YTD 2012 - 2023'!E19</f>
        <v>-30</v>
      </c>
      <c r="E22" s="33">
        <f>+'CF YTD 2012 - 2023'!E19-'CF YTD 2012 - 2023'!AX19</f>
        <v>-20.6</v>
      </c>
      <c r="F22" s="33">
        <f>+'CF YTD 2012 - 2023'!F19-'CF YTD 2012 - 2023'!G19</f>
        <v>-10.399999999999999</v>
      </c>
      <c r="G22" s="33">
        <f>+'CF YTD 2012 - 2023'!G19-'CF YTD 2012 - 2023'!H19</f>
        <v>-15.8</v>
      </c>
      <c r="H22" s="33">
        <f>+'CF YTD 2012 - 2023'!H19-'CF YTD 2012 - 2023'!I19</f>
        <v>6.4</v>
      </c>
      <c r="I22" s="33">
        <f>+'CF YTD 2012 - 2023'!I19-'CF YTD 2012 - 2023'!BB19</f>
        <v>-4.4000000000000004</v>
      </c>
      <c r="J22" s="33">
        <f>+'CF YTD 2012 - 2023'!J19-'CF YTD 2012 - 2023'!K19</f>
        <v>-16.799999999999997</v>
      </c>
      <c r="K22" s="33">
        <f>+'CF YTD 2012 - 2023'!K19-'CF YTD 2012 - 2023'!L19</f>
        <v>5</v>
      </c>
      <c r="L22" s="33">
        <f>+'CF YTD 2012 - 2023'!L19-'CF YTD 2012 - 2023'!M19</f>
        <v>-4</v>
      </c>
      <c r="M22" s="33">
        <f>+'CF YTD 2012 - 2023'!M19-'CF YTD 2012 - 2023'!AZ19</f>
        <v>-8.6</v>
      </c>
      <c r="N22" s="33">
        <f>+'CF YTD 2012 - 2023'!N19-'CF YTD 2012 - 2023'!O19</f>
        <v>-14.7</v>
      </c>
      <c r="O22" s="33">
        <f>+'CF YTD 2012 - 2023'!O19-'CF YTD 2012 - 2023'!P19</f>
        <v>-12.200000000000001</v>
      </c>
      <c r="P22" s="33">
        <f>+'CF YTD 2012 - 2023'!P19-'CF YTD 2012 - 2023'!Q19</f>
        <v>-3.7999999999999989</v>
      </c>
      <c r="Q22" s="33">
        <f>+'CF YTD 2012 - 2023'!Q19-'CF YTD 2012 - 2023'!AZ19</f>
        <v>-9.3000000000000007</v>
      </c>
      <c r="R22" s="33">
        <f>+'CF YTD 2012 - 2023'!R19-'CF YTD 2012 - 2023'!S19</f>
        <v>-6.1999999999999993</v>
      </c>
      <c r="S22" s="33">
        <f>+'CF YTD 2012 - 2023'!S19-'CF YTD 2012 - 2023'!T19</f>
        <v>-5.7000000000000011</v>
      </c>
      <c r="T22" s="33">
        <f>+'CF YTD 2012 - 2023'!T19-'CF YTD 2012 - 2023'!U19</f>
        <v>-2.1999999999999993</v>
      </c>
      <c r="U22" s="33">
        <f>+'CF YTD 2012 - 2023'!U19-'CF YTD 2012 - 2023'!AZ19</f>
        <v>-5.4</v>
      </c>
      <c r="V22" s="33">
        <f>+'CF YTD 2012 - 2023'!V19-'CF YTD 2012 - 2023'!W19</f>
        <v>-1.6999999999999993</v>
      </c>
      <c r="W22" s="33">
        <f>+'CF YTD 2012 - 2023'!W19-'CF YTD 2012 - 2023'!X19</f>
        <v>-6.3000000000000007</v>
      </c>
      <c r="X22" s="33">
        <f>+'CF YTD 2012 - 2023'!X19-'CF YTD 2012 - 2023'!Y19</f>
        <v>-6.3999999999999995</v>
      </c>
      <c r="Y22" s="33">
        <f>+'CF YTD 2012 - 2023'!Y19-'CF YTD 2012 - 2023'!AX19</f>
        <v>-1.2</v>
      </c>
      <c r="Z22" s="33">
        <f>+'CF YTD 2012 - 2023'!Z19-'CF YTD 2012 - 2023'!AA19</f>
        <v>3.6999999999999993</v>
      </c>
      <c r="AA22" s="33">
        <f>+'CF YTD 2012 - 2023'!AA19-'CF YTD 2012 - 2023'!AB19</f>
        <v>4.5</v>
      </c>
      <c r="AB22" s="33">
        <f>+'CF YTD 2012 - 2023'!AB19-'CF YTD 2012 - 2023'!AC19</f>
        <v>-7.5999999999999979</v>
      </c>
      <c r="AC22" s="33">
        <f>+'CF YTD 2012 - 2023'!AC19-'CF YTD 2012 - 2023'!AX19</f>
        <v>-17.100000000000001</v>
      </c>
      <c r="AD22" s="33">
        <f>+'CF YTD 2012 - 2023'!AD19-'CF YTD 2012 - 2023'!AE19</f>
        <v>15.3</v>
      </c>
      <c r="AE22" s="33">
        <f>+'CF YTD 2012 - 2023'!AE19-'CF YTD 2012 - 2023'!AF19</f>
        <v>-3.7000000000000011</v>
      </c>
      <c r="AF22" s="33">
        <f>+'CF YTD 2012 - 2023'!AF19-'CF YTD 2012 - 2023'!AG19</f>
        <v>-10.1</v>
      </c>
      <c r="AG22" s="33">
        <f>+'CF YTD 2012 - 2023'!AG19</f>
        <v>-5</v>
      </c>
      <c r="AH22" s="33">
        <v>-0.69999999999999973</v>
      </c>
      <c r="AI22" s="33">
        <v>-0.70000000000000018</v>
      </c>
      <c r="AJ22" s="33">
        <v>-1</v>
      </c>
      <c r="AK22" s="33">
        <v>-0.5</v>
      </c>
      <c r="AL22" s="33">
        <v>-1</v>
      </c>
      <c r="AM22" s="33">
        <v>-1.1000000000000001</v>
      </c>
      <c r="AN22" s="33">
        <v>-1.4000000000000001</v>
      </c>
      <c r="AO22" s="33">
        <v>-0.7</v>
      </c>
      <c r="AP22" s="33">
        <v>-10.369</v>
      </c>
      <c r="AQ22" s="33">
        <v>-0.89999999999999947</v>
      </c>
      <c r="AR22" s="33">
        <v>-5</v>
      </c>
      <c r="AS22" s="33">
        <v>-1.4</v>
      </c>
      <c r="AT22" s="33">
        <v>-12.2</v>
      </c>
      <c r="AU22" s="33">
        <v>3.1000000000000005</v>
      </c>
      <c r="AV22" s="33">
        <v>-6.7000000000000011</v>
      </c>
      <c r="AW22" s="33">
        <v>-3.1</v>
      </c>
    </row>
    <row r="23" spans="2:49" ht="17.25" x14ac:dyDescent="0.3">
      <c r="B23" s="5" t="s">
        <v>127</v>
      </c>
      <c r="C23" s="33">
        <f>+'CF YTD 2012 - 2023'!C20-'CF YTD 2012 - 2023'!D20</f>
        <v>0</v>
      </c>
      <c r="D23" s="33">
        <f>+'CF YTD 2012 - 2023'!D20-'CF YTD 2012 - 2023'!E20</f>
        <v>0</v>
      </c>
      <c r="E23" s="33">
        <f>+'CF YTD 2012 - 2023'!E20-'CF YTD 2012 - 2023'!AX20</f>
        <v>0</v>
      </c>
      <c r="F23" s="33">
        <f>+'CF YTD 2012 - 2023'!F20-'CF YTD 2012 - 2023'!G20</f>
        <v>0</v>
      </c>
      <c r="G23" s="33">
        <f>+'CF YTD 2012 - 2023'!G20-'CF YTD 2012 - 2023'!H20</f>
        <v>0</v>
      </c>
      <c r="H23" s="33">
        <f>+'CF YTD 2012 - 2023'!H20-'CF YTD 2012 - 2023'!I20</f>
        <v>0</v>
      </c>
      <c r="I23" s="33">
        <f>+'CF YTD 2012 - 2023'!I20-'CF YTD 2012 - 2023'!BB20</f>
        <v>0</v>
      </c>
      <c r="J23" s="33">
        <f>+'CF YTD 2012 - 2023'!J20-'CF YTD 2012 - 2023'!K20</f>
        <v>0</v>
      </c>
      <c r="K23" s="33">
        <f>+'CF YTD 2012 - 2023'!K20-'CF YTD 2012 - 2023'!L20</f>
        <v>0</v>
      </c>
      <c r="L23" s="33">
        <f>+'CF YTD 2012 - 2023'!L20-'CF YTD 2012 - 2023'!M20</f>
        <v>0</v>
      </c>
      <c r="M23" s="33">
        <f>+'CF YTD 2012 - 2023'!M20-'CF YTD 2012 - 2023'!AZ20</f>
        <v>0</v>
      </c>
      <c r="N23" s="33">
        <f>+'CF YTD 2012 - 2023'!N20-'CF YTD 2012 - 2023'!O20</f>
        <v>0</v>
      </c>
      <c r="O23" s="33">
        <f>+'CF YTD 2012 - 2023'!O20-'CF YTD 2012 - 2023'!P20</f>
        <v>0</v>
      </c>
      <c r="P23" s="33">
        <f>+'CF YTD 2012 - 2023'!P20-'CF YTD 2012 - 2023'!Q20</f>
        <v>0</v>
      </c>
      <c r="Q23" s="33">
        <f>+'CF YTD 2012 - 2023'!Q20-'CF YTD 2012 - 2023'!AZ20</f>
        <v>0</v>
      </c>
      <c r="R23" s="33">
        <f>+'CF YTD 2012 - 2023'!R20-'CF YTD 2012 - 2023'!S20</f>
        <v>0</v>
      </c>
      <c r="S23" s="33">
        <f>+'CF YTD 2012 - 2023'!S20-'CF YTD 2012 - 2023'!T20</f>
        <v>0</v>
      </c>
      <c r="T23" s="33">
        <f>+'CF YTD 2012 - 2023'!T20-'CF YTD 2012 - 2023'!U20</f>
        <v>0</v>
      </c>
      <c r="U23" s="33">
        <f>+'CF YTD 2012 - 2023'!U20-'CF YTD 2012 - 2023'!AZ20</f>
        <v>0</v>
      </c>
      <c r="V23" s="33">
        <f>+'CF YTD 2012 - 2023'!V20-'CF YTD 2012 - 2023'!W20</f>
        <v>0</v>
      </c>
      <c r="W23" s="33">
        <f>+'CF YTD 2012 - 2023'!W20-'CF YTD 2012 - 2023'!X20</f>
        <v>0</v>
      </c>
      <c r="X23" s="33">
        <f>+'CF YTD 2012 - 2023'!X20-'CF YTD 2012 - 2023'!Y20</f>
        <v>0</v>
      </c>
      <c r="Y23" s="33">
        <f>+'CF YTD 2012 - 2023'!Y20-'CF YTD 2012 - 2023'!AX20</f>
        <v>0</v>
      </c>
      <c r="Z23" s="33">
        <f>+'CF YTD 2012 - 2023'!Z20-'CF YTD 2012 - 2023'!AA20</f>
        <v>0</v>
      </c>
      <c r="AA23" s="33">
        <f>+'CF YTD 2012 - 2023'!AA20-'CF YTD 2012 - 2023'!AB20</f>
        <v>0</v>
      </c>
      <c r="AB23" s="33">
        <f>+'CF YTD 2012 - 2023'!AB20-'CF YTD 2012 - 2023'!AC20</f>
        <v>0</v>
      </c>
      <c r="AC23" s="33">
        <f>+'CF YTD 2012 - 2023'!AC20-'CF YTD 2012 - 2023'!AX20</f>
        <v>0</v>
      </c>
      <c r="AD23" s="33">
        <f>+'CF YTD 2012 - 2023'!AD20-'CF YTD 2012 - 2023'!AE20</f>
        <v>0</v>
      </c>
      <c r="AE23" s="33">
        <f>+'CF YTD 2012 - 2023'!AE20-'CF YTD 2012 - 2023'!AF20</f>
        <v>0</v>
      </c>
      <c r="AF23" s="33">
        <f>+'CF YTD 2012 - 2023'!AF20-'CF YTD 2012 - 2023'!AG20</f>
        <v>0</v>
      </c>
      <c r="AG23" s="33">
        <f>+'CF YTD 2012 - 2023'!AG20</f>
        <v>0</v>
      </c>
      <c r="AH23" s="33">
        <v>0</v>
      </c>
      <c r="AI23" s="33">
        <v>0</v>
      </c>
      <c r="AJ23" s="33">
        <v>0</v>
      </c>
      <c r="AK23" s="33">
        <v>0</v>
      </c>
      <c r="AL23" s="33">
        <v>-26.5</v>
      </c>
      <c r="AM23" s="33">
        <v>24</v>
      </c>
      <c r="AN23" s="33">
        <v>2.4</v>
      </c>
      <c r="AO23" s="33">
        <v>0.1</v>
      </c>
      <c r="AP23" s="33">
        <v>-5.3319999999999999</v>
      </c>
      <c r="AQ23" s="33">
        <v>-8.6</v>
      </c>
      <c r="AR23" s="33">
        <v>-6.4</v>
      </c>
      <c r="AS23" s="33">
        <v>8.3000000000000007</v>
      </c>
      <c r="AT23" s="33">
        <v>-4.3999999999999995</v>
      </c>
      <c r="AU23" s="33">
        <v>-4.8000000000000007</v>
      </c>
      <c r="AV23" s="33">
        <v>10.7</v>
      </c>
      <c r="AW23" s="33">
        <v>-5.8</v>
      </c>
    </row>
    <row r="24" spans="2:49" x14ac:dyDescent="0.3">
      <c r="B24" s="15" t="s">
        <v>66</v>
      </c>
      <c r="C24" s="39">
        <f>+'CF YTD 2012 - 2023'!C21-'CF YTD 2012 - 2023'!D21</f>
        <v>-5.0000000000000009</v>
      </c>
      <c r="D24" s="39">
        <f>+'CF YTD 2012 - 2023'!D21-'CF YTD 2012 - 2023'!E21</f>
        <v>-0.89999999999999991</v>
      </c>
      <c r="E24" s="39">
        <f>+'CF YTD 2012 - 2023'!E21-'CF YTD 2012 - 2023'!AX21</f>
        <v>-2.4</v>
      </c>
      <c r="F24" s="39">
        <f>+'CF YTD 2012 - 2023'!F21-'CF YTD 2012 - 2023'!G21</f>
        <v>-0.80000000000000027</v>
      </c>
      <c r="G24" s="39">
        <f>+'CF YTD 2012 - 2023'!G21-'CF YTD 2012 - 2023'!H21</f>
        <v>-0.79999999999999982</v>
      </c>
      <c r="H24" s="39">
        <f>+'CF YTD 2012 - 2023'!H21-'CF YTD 2012 - 2023'!I21</f>
        <v>-0.8</v>
      </c>
      <c r="I24" s="39">
        <f>+'CF YTD 2012 - 2023'!I21-'CF YTD 2012 - 2023'!BB21</f>
        <v>-0.8</v>
      </c>
      <c r="J24" s="39">
        <f>+'CF YTD 2012 - 2023'!J21-'CF YTD 2012 - 2023'!K21</f>
        <v>-0.8</v>
      </c>
      <c r="K24" s="39">
        <f>+'CF YTD 2012 - 2023'!K21-'CF YTD 2012 - 2023'!L21</f>
        <v>-0.8</v>
      </c>
      <c r="L24" s="39">
        <f>+'CF YTD 2012 - 2023'!L21-'CF YTD 2012 - 2023'!M21</f>
        <v>-0.8</v>
      </c>
      <c r="M24" s="39">
        <f>+'CF YTD 2012 - 2023'!M21-'CF YTD 2012 - 2023'!AZ21</f>
        <v>-0.2</v>
      </c>
      <c r="N24" s="39">
        <f>+'CF YTD 2012 - 2023'!N21-'CF YTD 2012 - 2023'!O21</f>
        <v>-0.89999999999999991</v>
      </c>
      <c r="O24" s="39">
        <f>+'CF YTD 2012 - 2023'!O21-'CF YTD 2012 - 2023'!P21</f>
        <v>-1</v>
      </c>
      <c r="P24" s="39">
        <f>+'CF YTD 2012 - 2023'!P21-'CF YTD 2012 - 2023'!Q21</f>
        <v>-2</v>
      </c>
      <c r="Q24" s="39">
        <f>+'CF YTD 2012 - 2023'!Q21-'CF YTD 2012 - 2023'!AZ21</f>
        <v>0</v>
      </c>
      <c r="R24" s="39">
        <f>+'CF YTD 2012 - 2023'!R21-'CF YTD 2012 - 2023'!S21</f>
        <v>0.5</v>
      </c>
      <c r="S24" s="39">
        <f>+'CF YTD 2012 - 2023'!S21-'CF YTD 2012 - 2023'!T21</f>
        <v>-2.3000000000000003</v>
      </c>
      <c r="T24" s="39">
        <f>+'CF YTD 2012 - 2023'!T21-'CF YTD 2012 - 2023'!U21</f>
        <v>-0.6</v>
      </c>
      <c r="U24" s="39">
        <f>+'CF YTD 2012 - 2023'!U21-'CF YTD 2012 - 2023'!AZ21</f>
        <v>-0.79999999999999993</v>
      </c>
      <c r="V24" s="39">
        <f>+'CF YTD 2012 - 2023'!V21-'CF YTD 2012 - 2023'!W21</f>
        <v>-2.0999999999999996</v>
      </c>
      <c r="W24" s="39">
        <f>+'CF YTD 2012 - 2023'!W21-'CF YTD 2012 - 2023'!X21</f>
        <v>-0.40000000000000013</v>
      </c>
      <c r="X24" s="39">
        <f>+'CF YTD 2012 - 2023'!X21-'CF YTD 2012 - 2023'!Y21</f>
        <v>-0.7</v>
      </c>
      <c r="Y24" s="39">
        <f>+'CF YTD 2012 - 2023'!Y21-'CF YTD 2012 - 2023'!AX21</f>
        <v>-0.7</v>
      </c>
      <c r="Z24" s="39">
        <f>+'CF YTD 2012 - 2023'!Z21-'CF YTD 2012 - 2023'!AA21</f>
        <v>-1.3999999999999995</v>
      </c>
      <c r="AA24" s="39">
        <f>+'CF YTD 2012 - 2023'!AA21-'CF YTD 2012 - 2023'!AB21</f>
        <v>-0.70000000000000018</v>
      </c>
      <c r="AB24" s="39">
        <f>+'CF YTD 2012 - 2023'!AB21-'CF YTD 2012 - 2023'!AC21</f>
        <v>-0.70000000000000018</v>
      </c>
      <c r="AC24" s="39">
        <f>+'CF YTD 2012 - 2023'!AC21-'CF YTD 2012 - 2023'!AX21</f>
        <v>-3.5</v>
      </c>
      <c r="AD24" s="39">
        <f>+'CF YTD 2012 - 2023'!AD21-'CF YTD 2012 - 2023'!AE21</f>
        <v>-4.3000000000000007</v>
      </c>
      <c r="AE24" s="39">
        <f>+'CF YTD 2012 - 2023'!AE21-'CF YTD 2012 - 2023'!AF21</f>
        <v>-0.79999999999999982</v>
      </c>
      <c r="AF24" s="39">
        <f>+'CF YTD 2012 - 2023'!AF21-'CF YTD 2012 - 2023'!AG21</f>
        <v>-1.9000000000000001</v>
      </c>
      <c r="AG24" s="39">
        <f>+'CF YTD 2012 - 2023'!AG21</f>
        <v>-1.8</v>
      </c>
      <c r="AH24" s="39">
        <v>3.7000000000000011</v>
      </c>
      <c r="AI24" s="39">
        <v>-1.7000000000000011</v>
      </c>
      <c r="AJ24" s="39">
        <v>-0.20000000000000107</v>
      </c>
      <c r="AK24" s="39">
        <v>-15.7</v>
      </c>
      <c r="AL24" s="39">
        <v>-18.5</v>
      </c>
      <c r="AM24" s="39">
        <v>-0.89999999999999991</v>
      </c>
      <c r="AN24" s="39">
        <v>0.20000000000000018</v>
      </c>
      <c r="AO24" s="39">
        <v>-3.1</v>
      </c>
      <c r="AP24" s="39">
        <v>1.242</v>
      </c>
      <c r="AQ24" s="39">
        <v>-2.1</v>
      </c>
      <c r="AR24" s="39">
        <v>-0.9</v>
      </c>
      <c r="AS24" s="39">
        <v>-0.1</v>
      </c>
      <c r="AT24" s="39">
        <v>-1.1000000000000001</v>
      </c>
      <c r="AU24" s="39">
        <v>-1.4</v>
      </c>
      <c r="AV24" s="39">
        <v>0</v>
      </c>
      <c r="AW24" s="39">
        <v>0</v>
      </c>
    </row>
    <row r="25" spans="2:49" ht="6" customHeight="1" x14ac:dyDescent="0.3"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</row>
    <row r="26" spans="2:49" x14ac:dyDescent="0.3">
      <c r="B26" s="8" t="s">
        <v>67</v>
      </c>
      <c r="C26" s="40">
        <f t="shared" ref="C26:D26" si="16">SUM(C19:C24)</f>
        <v>306.00000000000017</v>
      </c>
      <c r="D26" s="40">
        <f t="shared" si="16"/>
        <v>442.49999999999983</v>
      </c>
      <c r="E26" s="40">
        <f t="shared" ref="E26:F26" si="17">SUM(E19:E24)</f>
        <v>-214.7000000000001</v>
      </c>
      <c r="F26" s="40">
        <f t="shared" si="17"/>
        <v>217.5</v>
      </c>
      <c r="G26" s="40">
        <f t="shared" ref="G26:H26" si="18">SUM(G19:G24)</f>
        <v>122.39999999999995</v>
      </c>
      <c r="H26" s="40">
        <f t="shared" si="18"/>
        <v>-143.59999999999997</v>
      </c>
      <c r="I26" s="40">
        <f t="shared" ref="I26:J26" si="19">SUM(I19:I24)</f>
        <v>23.800000000000029</v>
      </c>
      <c r="J26" s="40">
        <f t="shared" si="19"/>
        <v>-111.39999999999945</v>
      </c>
      <c r="K26" s="40">
        <f t="shared" ref="K26:L26" si="20">SUM(K19:K24)</f>
        <v>130.19999999999999</v>
      </c>
      <c r="L26" s="40">
        <f t="shared" si="20"/>
        <v>-257.8</v>
      </c>
      <c r="M26" s="40">
        <f t="shared" ref="M26:N26" si="21">SUM(M19:M24)</f>
        <v>-119.50000000000006</v>
      </c>
      <c r="N26" s="40">
        <f t="shared" si="21"/>
        <v>-415.69999999999982</v>
      </c>
      <c r="O26" s="40">
        <f t="shared" ref="O26:P26" si="22">SUM(O19:O24)</f>
        <v>315.3</v>
      </c>
      <c r="P26" s="40">
        <f t="shared" si="22"/>
        <v>240.20000000000002</v>
      </c>
      <c r="Q26" s="40">
        <f t="shared" ref="Q26:R26" si="23">SUM(Q19:Q24)</f>
        <v>432.09999999999997</v>
      </c>
      <c r="R26" s="40">
        <f t="shared" si="23"/>
        <v>-7.0000000000000462</v>
      </c>
      <c r="S26" s="40">
        <f t="shared" ref="S26:T26" si="24">SUM(S19:S24)</f>
        <v>-42.499999999999993</v>
      </c>
      <c r="T26" s="40">
        <f t="shared" si="24"/>
        <v>-155.59999999999994</v>
      </c>
      <c r="U26" s="40">
        <f t="shared" ref="U26:V26" si="25">SUM(U19:U24)</f>
        <v>-70.800000000000026</v>
      </c>
      <c r="V26" s="40">
        <f t="shared" si="25"/>
        <v>6.7000000000000401</v>
      </c>
      <c r="W26" s="40">
        <f t="shared" ref="W26:X26" si="26">SUM(W19:W24)</f>
        <v>16.199999999999974</v>
      </c>
      <c r="X26" s="40">
        <f t="shared" si="26"/>
        <v>-104.5</v>
      </c>
      <c r="Y26" s="40">
        <f t="shared" ref="Y26:Z26" si="27">SUM(Y19:Y24)</f>
        <v>-206.89999999999995</v>
      </c>
      <c r="Z26" s="40">
        <f t="shared" si="27"/>
        <v>-172</v>
      </c>
      <c r="AA26" s="40">
        <f t="shared" ref="AA26:AB26" si="28">SUM(AA19:AA24)</f>
        <v>-80.300000000000168</v>
      </c>
      <c r="AB26" s="40">
        <f t="shared" si="28"/>
        <v>301.29999999999995</v>
      </c>
      <c r="AC26" s="40">
        <f t="shared" ref="AC26:AD26" si="29">SUM(AC19:AC24)</f>
        <v>167.1</v>
      </c>
      <c r="AD26" s="40">
        <f t="shared" si="29"/>
        <v>641.70000000000016</v>
      </c>
      <c r="AE26" s="40">
        <f t="shared" ref="AE26:AF26" si="30">SUM(AE19:AE24)</f>
        <v>-229.59999999999997</v>
      </c>
      <c r="AF26" s="40">
        <f t="shared" si="30"/>
        <v>-77.8</v>
      </c>
      <c r="AG26" s="40">
        <f t="shared" ref="AG26" si="31">SUM(AG19:AG24)</f>
        <v>-66.699999999999974</v>
      </c>
      <c r="AH26" s="40">
        <v>-164.70000000000002</v>
      </c>
      <c r="AI26" s="40">
        <v>-36.300000000000068</v>
      </c>
      <c r="AJ26" s="40">
        <v>-293.09999999999997</v>
      </c>
      <c r="AK26" s="40">
        <v>599.4</v>
      </c>
      <c r="AL26" s="40">
        <v>548.39999999999986</v>
      </c>
      <c r="AM26" s="40">
        <v>-40.200000000000017</v>
      </c>
      <c r="AN26" s="40">
        <v>-89.699999999999989</v>
      </c>
      <c r="AO26" s="40">
        <v>-79.8</v>
      </c>
      <c r="AP26" s="40">
        <v>146.28399999999999</v>
      </c>
      <c r="AQ26" s="40">
        <v>-81.7</v>
      </c>
      <c r="AR26" s="40">
        <v>195.39999999999998</v>
      </c>
      <c r="AS26" s="40">
        <v>-112.9</v>
      </c>
      <c r="AT26" s="40">
        <v>31.200000000000131</v>
      </c>
      <c r="AU26" s="40">
        <v>46.299999999999962</v>
      </c>
      <c r="AV26" s="40">
        <v>-9.0000000000000391</v>
      </c>
      <c r="AW26" s="40">
        <v>-48.399999999999991</v>
      </c>
    </row>
    <row r="27" spans="2:49" ht="9" customHeight="1" x14ac:dyDescent="0.3"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</row>
    <row r="28" spans="2:49" x14ac:dyDescent="0.3">
      <c r="B28" s="5" t="s">
        <v>212</v>
      </c>
      <c r="C28" s="33">
        <f>+'CF YTD 2012 - 2023'!C23-'CF YTD 2012 - 2023'!D23</f>
        <v>0</v>
      </c>
      <c r="D28" s="33">
        <f>+'CF YTD 2012 - 2023'!D23-'CF YTD 2012 - 2023'!E23</f>
        <v>0</v>
      </c>
      <c r="E28" s="33">
        <f>+'CF YTD 2012 - 2023'!E23-'CF YTD 2012 - 2023'!AX23</f>
        <v>0</v>
      </c>
      <c r="F28" s="33">
        <f>+'CF YTD 2012 - 2023'!F23-'CF YTD 2012 - 2023'!G23</f>
        <v>-598.5</v>
      </c>
      <c r="G28" s="33">
        <f>+'CF YTD 2012 - 2023'!G23-'CF YTD 2012 - 2023'!H23</f>
        <v>0</v>
      </c>
      <c r="H28" s="33">
        <f>+'CF YTD 2012 - 2023'!H23-'CF YTD 2012 - 2023'!I23</f>
        <v>0</v>
      </c>
      <c r="I28" s="33">
        <f>+'CF YTD 2012 - 2023'!I23-'CF YTD 2012 - 2023'!BB23</f>
        <v>3.6</v>
      </c>
      <c r="J28" s="33">
        <f>+'CF YTD 2012 - 2023'!J23-'CF YTD 2012 - 2023'!K23</f>
        <v>-371.8</v>
      </c>
      <c r="K28" s="33">
        <f>+'CF YTD 2012 - 2023'!K23-'CF YTD 2012 - 2023'!L23</f>
        <v>0</v>
      </c>
      <c r="L28" s="33">
        <f>+'CF YTD 2012 - 2023'!L23-'CF YTD 2012 - 2023'!M23</f>
        <v>0</v>
      </c>
      <c r="M28" s="33">
        <f>+'CF YTD 2012 - 2023'!M23-'CF YTD 2012 - 2023'!AZ23</f>
        <v>0</v>
      </c>
      <c r="N28" s="33">
        <f>+'CF YTD 2012 - 2023'!N23-'CF YTD 2012 - 2023'!O23</f>
        <v>-372.3</v>
      </c>
      <c r="O28" s="33">
        <f>+'CF YTD 2012 - 2023'!O23-'CF YTD 2012 - 2023'!P23</f>
        <v>0</v>
      </c>
      <c r="P28" s="33">
        <f>+'CF YTD 2012 - 2023'!P23-'CF YTD 2012 - 2023'!Q23</f>
        <v>0</v>
      </c>
      <c r="Q28" s="33">
        <f>+'CF YTD 2012 - 2023'!Q23-'CF YTD 2012 - 2023'!AZ23</f>
        <v>-21.7</v>
      </c>
      <c r="R28" s="33">
        <f>+'CF YTD 2012 - 2023'!R23-'CF YTD 2012 - 2023'!S23</f>
        <v>-2307.6</v>
      </c>
      <c r="S28" s="33">
        <f>+'CF YTD 2012 - 2023'!S23-'CF YTD 2012 - 2023'!T23</f>
        <v>0</v>
      </c>
      <c r="T28" s="33">
        <f>+'CF YTD 2012 - 2023'!T23-'CF YTD 2012 - 2023'!U23</f>
        <v>0</v>
      </c>
      <c r="U28" s="33">
        <f>+'CF YTD 2012 - 2023'!U23-'CF YTD 2012 - 2023'!AZ23</f>
        <v>0</v>
      </c>
      <c r="V28" s="33">
        <f>+'CF YTD 2012 - 2023'!V23-'CF YTD 2012 - 2023'!W23</f>
        <v>0</v>
      </c>
      <c r="W28" s="33">
        <f>+'CF YTD 2012 - 2023'!W23-'CF YTD 2012 - 2023'!X23</f>
        <v>0</v>
      </c>
      <c r="X28" s="33">
        <f>+'CF YTD 2012 - 2023'!X23-'CF YTD 2012 - 2023'!Y23</f>
        <v>0</v>
      </c>
      <c r="Y28" s="33">
        <f>+'CF YTD 2012 - 2023'!Y23-'CF YTD 2012 - 2023'!AX23</f>
        <v>0</v>
      </c>
      <c r="Z28" s="33">
        <f>+'CF YTD 2012 - 2023'!Z23-'CF YTD 2012 - 2023'!AA23</f>
        <v>0</v>
      </c>
      <c r="AA28" s="33">
        <f>+'CF YTD 2012 - 2023'!AA23-'CF YTD 2012 - 2023'!AB23</f>
        <v>0</v>
      </c>
      <c r="AB28" s="33">
        <f>+'CF YTD 2012 - 2023'!AB23-'CF YTD 2012 - 2023'!AC23</f>
        <v>0</v>
      </c>
      <c r="AC28" s="33">
        <f>+'CF YTD 2012 - 2023'!AC23-'CF YTD 2012 - 2023'!AX23</f>
        <v>0</v>
      </c>
      <c r="AD28" s="33">
        <f>+'CF YTD 2012 - 2023'!AD23-'CF YTD 2012 - 2023'!AE23</f>
        <v>0</v>
      </c>
      <c r="AE28" s="33">
        <f>+'CF YTD 2012 - 2023'!AE23-'CF YTD 2012 - 2023'!AF23</f>
        <v>0</v>
      </c>
      <c r="AF28" s="33">
        <f>+'CF YTD 2012 - 2023'!AF23-'CF YTD 2012 - 2023'!AG23</f>
        <v>0</v>
      </c>
      <c r="AG28" s="33">
        <f>+'CF YTD 2012 - 2023'!AG23</f>
        <v>0</v>
      </c>
      <c r="AH28" s="33">
        <v>0</v>
      </c>
      <c r="AI28" s="33">
        <v>0</v>
      </c>
      <c r="AJ28" s="33">
        <v>0</v>
      </c>
      <c r="AK28" s="33">
        <v>0</v>
      </c>
      <c r="AL28" s="33">
        <v>0</v>
      </c>
      <c r="AM28" s="33">
        <v>0</v>
      </c>
      <c r="AN28" s="33">
        <v>0</v>
      </c>
      <c r="AO28" s="33">
        <v>0</v>
      </c>
      <c r="AP28" s="33">
        <v>0</v>
      </c>
      <c r="AQ28" s="33">
        <v>0</v>
      </c>
      <c r="AR28" s="33">
        <v>0</v>
      </c>
      <c r="AS28" s="33">
        <v>0</v>
      </c>
      <c r="AT28" s="33">
        <v>0</v>
      </c>
      <c r="AU28" s="33">
        <v>0</v>
      </c>
      <c r="AV28" s="33">
        <v>0</v>
      </c>
      <c r="AW28" s="33">
        <v>0</v>
      </c>
    </row>
    <row r="29" spans="2:49" x14ac:dyDescent="0.3">
      <c r="B29" s="5" t="s">
        <v>213</v>
      </c>
      <c r="C29" s="33">
        <f>+'CF YTD 2012 - 2023'!C24-'CF YTD 2012 - 2023'!D24</f>
        <v>-142.90000000000003</v>
      </c>
      <c r="D29" s="33">
        <f>+'CF YTD 2012 - 2023'!D24-'CF YTD 2012 - 2023'!E24</f>
        <v>-164.89999999999998</v>
      </c>
      <c r="E29" s="33">
        <f>+'CF YTD 2012 - 2023'!E24-'CF YTD 2012 - 2023'!AX24</f>
        <v>-211.8</v>
      </c>
      <c r="F29" s="33">
        <f>+'CF YTD 2012 - 2023'!F24-'CF YTD 2012 - 2023'!G24</f>
        <v>-145.89999999999998</v>
      </c>
      <c r="G29" s="33">
        <f>+'CF YTD 2012 - 2023'!G24-'CF YTD 2012 - 2023'!H24</f>
        <v>-122.80000000000001</v>
      </c>
      <c r="H29" s="33">
        <f>+'CF YTD 2012 - 2023'!H24-'CF YTD 2012 - 2023'!I24</f>
        <v>-4.5</v>
      </c>
      <c r="I29" s="33">
        <f>+'CF YTD 2012 - 2023'!I24-'CF YTD 2012 - 2023'!BB24</f>
        <v>-152.19999999999999</v>
      </c>
      <c r="J29" s="33">
        <f>+'CF YTD 2012 - 2023'!J24-'CF YTD 2012 - 2023'!K24</f>
        <v>-117.5</v>
      </c>
      <c r="K29" s="33">
        <f>+'CF YTD 2012 - 2023'!K24-'CF YTD 2012 - 2023'!L24</f>
        <v>-44.4</v>
      </c>
      <c r="L29" s="33">
        <f>+'CF YTD 2012 - 2023'!L24-'CF YTD 2012 - 2023'!M24</f>
        <v>-27.1</v>
      </c>
      <c r="M29" s="33">
        <f>+'CF YTD 2012 - 2023'!M24-'CF YTD 2012 - 2023'!AZ24</f>
        <v>-14.5</v>
      </c>
      <c r="N29" s="33">
        <f>+'CF YTD 2012 - 2023'!N24-'CF YTD 2012 - 2023'!O24</f>
        <v>-16.200000000000003</v>
      </c>
      <c r="O29" s="33">
        <f>+'CF YTD 2012 - 2023'!O24-'CF YTD 2012 - 2023'!P24</f>
        <v>-61.400000000000006</v>
      </c>
      <c r="P29" s="33">
        <f>+'CF YTD 2012 - 2023'!P24-'CF YTD 2012 - 2023'!Q24</f>
        <v>-19.5</v>
      </c>
      <c r="Q29" s="33">
        <f>+'CF YTD 2012 - 2023'!Q24-'CF YTD 2012 - 2023'!AZ24</f>
        <v>-10.8</v>
      </c>
      <c r="R29" s="33">
        <f>+'CF YTD 2012 - 2023'!R24-'CF YTD 2012 - 2023'!S24</f>
        <v>-1.7999999999999998</v>
      </c>
      <c r="S29" s="33">
        <f>+'CF YTD 2012 - 2023'!S24-'CF YTD 2012 - 2023'!T24</f>
        <v>-0.8</v>
      </c>
      <c r="T29" s="33">
        <f>+'CF YTD 2012 - 2023'!T24-'CF YTD 2012 - 2023'!U24</f>
        <v>-0.7</v>
      </c>
      <c r="U29" s="33">
        <f>+'CF YTD 2012 - 2023'!U24-'CF YTD 2012 - 2023'!AZ24</f>
        <v>0</v>
      </c>
      <c r="V29" s="33">
        <f>+'CF YTD 2012 - 2023'!V24-'CF YTD 2012 - 2023'!W24</f>
        <v>-5.4999999999999991</v>
      </c>
      <c r="W29" s="33">
        <f>+'CF YTD 2012 - 2023'!W24-'CF YTD 2012 - 2023'!X24</f>
        <v>-2</v>
      </c>
      <c r="X29" s="33">
        <f>+'CF YTD 2012 - 2023'!X24-'CF YTD 2012 - 2023'!Y24</f>
        <v>-1.5000000000000002</v>
      </c>
      <c r="Y29" s="33">
        <f>+'CF YTD 2012 - 2023'!Y24-'CF YTD 2012 - 2023'!AX24</f>
        <v>-1.2</v>
      </c>
      <c r="Z29" s="33">
        <f>+'CF YTD 2012 - 2023'!Z24-'CF YTD 2012 - 2023'!AA24</f>
        <v>-6.9</v>
      </c>
      <c r="AA29" s="33">
        <f>+'CF YTD 2012 - 2023'!AA24-'CF YTD 2012 - 2023'!AB24</f>
        <v>-4.0999999999999996</v>
      </c>
      <c r="AB29" s="33">
        <f>+'CF YTD 2012 - 2023'!AB24-'CF YTD 2012 - 2023'!AC24</f>
        <v>-7.0000000000000009</v>
      </c>
      <c r="AC29" s="33">
        <f>+'CF YTD 2012 - 2023'!AC24-'CF YTD 2012 - 2023'!AX24</f>
        <v>-4.3</v>
      </c>
      <c r="AD29" s="33">
        <f>+'CF YTD 2012 - 2023'!AD24-'CF YTD 2012 - 2023'!AE24</f>
        <v>-8.7000000000000028</v>
      </c>
      <c r="AE29" s="33">
        <f>+'CF YTD 2012 - 2023'!AE24-'CF YTD 2012 - 2023'!AF24</f>
        <v>-10.199999999999999</v>
      </c>
      <c r="AF29" s="33">
        <f>+'CF YTD 2012 - 2023'!AF24-'CF YTD 2012 - 2023'!AG24</f>
        <v>-11.5</v>
      </c>
      <c r="AG29" s="33">
        <f>+'CF YTD 2012 - 2023'!AG24</f>
        <v>-13.3</v>
      </c>
      <c r="AH29" s="33">
        <v>-11.400000000000002</v>
      </c>
      <c r="AI29" s="33">
        <v>-2.6999999999999993</v>
      </c>
      <c r="AJ29" s="33">
        <v>-5.1999999999999993</v>
      </c>
      <c r="AK29" s="33">
        <v>-9</v>
      </c>
      <c r="AL29" s="33">
        <v>-10.300000000000004</v>
      </c>
      <c r="AM29" s="33">
        <v>-12.299999999999997</v>
      </c>
      <c r="AN29" s="33">
        <v>-9.8000000000000007</v>
      </c>
      <c r="AO29" s="33">
        <v>-21.2</v>
      </c>
      <c r="AP29" s="33">
        <v>-24.025000000000006</v>
      </c>
      <c r="AQ29" s="33">
        <v>-47</v>
      </c>
      <c r="AR29" s="33">
        <v>-29.8</v>
      </c>
      <c r="AS29" s="33">
        <v>-10.199999999999999</v>
      </c>
      <c r="AT29" s="33">
        <v>-15</v>
      </c>
      <c r="AU29" s="33">
        <v>-3.1000000000000005</v>
      </c>
      <c r="AV29" s="33">
        <v>-4.7</v>
      </c>
      <c r="AW29" s="33">
        <v>-1.5</v>
      </c>
    </row>
    <row r="30" spans="2:49" x14ac:dyDescent="0.3">
      <c r="B30" s="5" t="s">
        <v>68</v>
      </c>
      <c r="C30" s="33">
        <f>+'CF YTD 2012 - 2023'!C25-'CF YTD 2012 - 2023'!D25</f>
        <v>-30.199999999999989</v>
      </c>
      <c r="D30" s="33">
        <f>+'CF YTD 2012 - 2023'!D25-'CF YTD 2012 - 2023'!E25</f>
        <v>-152.4</v>
      </c>
      <c r="E30" s="33">
        <f>+'CF YTD 2012 - 2023'!E25-'CF YTD 2012 - 2023'!AX25</f>
        <v>-31</v>
      </c>
      <c r="F30" s="33">
        <f>+'CF YTD 2012 - 2023'!F25-'CF YTD 2012 - 2023'!G25</f>
        <v>-66.199999999999989</v>
      </c>
      <c r="G30" s="33">
        <f>+'CF YTD 2012 - 2023'!G25-'CF YTD 2012 - 2023'!H25</f>
        <v>-52.5</v>
      </c>
      <c r="H30" s="33">
        <f>+'CF YTD 2012 - 2023'!H25-'CF YTD 2012 - 2023'!I25</f>
        <v>-92.5</v>
      </c>
      <c r="I30" s="33">
        <f>+'CF YTD 2012 - 2023'!I25-'CF YTD 2012 - 2023'!BB25</f>
        <v>-150</v>
      </c>
      <c r="J30" s="33">
        <f>+'CF YTD 2012 - 2023'!J25-'CF YTD 2012 - 2023'!K25</f>
        <v>-175.90000000000003</v>
      </c>
      <c r="K30" s="33">
        <f>+'CF YTD 2012 - 2023'!K25-'CF YTD 2012 - 2023'!L25</f>
        <v>-135.79999999999998</v>
      </c>
      <c r="L30" s="33">
        <f>+'CF YTD 2012 - 2023'!L25-'CF YTD 2012 - 2023'!M25</f>
        <v>-90.2</v>
      </c>
      <c r="M30" s="33">
        <f>+'CF YTD 2012 - 2023'!M25-'CF YTD 2012 - 2023'!AZ25</f>
        <v>-81.2</v>
      </c>
      <c r="N30" s="33">
        <f>+'CF YTD 2012 - 2023'!N25-'CF YTD 2012 - 2023'!O25</f>
        <v>-96.4</v>
      </c>
      <c r="O30" s="33">
        <f>+'CF YTD 2012 - 2023'!O25-'CF YTD 2012 - 2023'!P25</f>
        <v>-42.100000000000009</v>
      </c>
      <c r="P30" s="33">
        <f>+'CF YTD 2012 - 2023'!P25-'CF YTD 2012 - 2023'!Q25</f>
        <v>-43.5</v>
      </c>
      <c r="Q30" s="33">
        <f>+'CF YTD 2012 - 2023'!Q25-'CF YTD 2012 - 2023'!AZ25</f>
        <v>-22.8</v>
      </c>
      <c r="R30" s="33">
        <f>+'CF YTD 2012 - 2023'!R25-'CF YTD 2012 - 2023'!S25</f>
        <v>-62.100000000000023</v>
      </c>
      <c r="S30" s="33">
        <f>+'CF YTD 2012 - 2023'!S25-'CF YTD 2012 - 2023'!T25</f>
        <v>-102.6</v>
      </c>
      <c r="T30" s="33">
        <f>+'CF YTD 2012 - 2023'!T25-'CF YTD 2012 - 2023'!U25</f>
        <v>-122.60000000000001</v>
      </c>
      <c r="U30" s="33">
        <f>+'CF YTD 2012 - 2023'!U25-'CF YTD 2012 - 2023'!AZ25</f>
        <v>-72.8</v>
      </c>
      <c r="V30" s="33">
        <f>+'CF YTD 2012 - 2023'!V25-'CF YTD 2012 - 2023'!W25</f>
        <v>-78.300000000000011</v>
      </c>
      <c r="W30" s="33">
        <f>+'CF YTD 2012 - 2023'!W25-'CF YTD 2012 - 2023'!X25</f>
        <v>-43.2</v>
      </c>
      <c r="X30" s="33">
        <f>+'CF YTD 2012 - 2023'!X25-'CF YTD 2012 - 2023'!Y25</f>
        <v>-52.599999999999994</v>
      </c>
      <c r="Y30" s="33">
        <f>+'CF YTD 2012 - 2023'!Y25-'CF YTD 2012 - 2023'!AX25</f>
        <v>-27.7</v>
      </c>
      <c r="Z30" s="33">
        <f>+'CF YTD 2012 - 2023'!Z25-'CF YTD 2012 - 2023'!AA25</f>
        <v>-45</v>
      </c>
      <c r="AA30" s="33">
        <f>+'CF YTD 2012 - 2023'!AA25-'CF YTD 2012 - 2023'!AB25</f>
        <v>-3.3000000000000007</v>
      </c>
      <c r="AB30" s="33">
        <f>+'CF YTD 2012 - 2023'!AB25-'CF YTD 2012 - 2023'!AC25</f>
        <v>-4.3999999999999995</v>
      </c>
      <c r="AC30" s="33">
        <f>+'CF YTD 2012 - 2023'!AC25-'CF YTD 2012 - 2023'!AX25</f>
        <v>-3.7</v>
      </c>
      <c r="AD30" s="33">
        <f>+'CF YTD 2012 - 2023'!AD25-'CF YTD 2012 - 2023'!AE25</f>
        <v>-19.899999999999999</v>
      </c>
      <c r="AE30" s="33">
        <f>+'CF YTD 2012 - 2023'!AE25-'CF YTD 2012 - 2023'!AF25</f>
        <v>-6.1999999999999993</v>
      </c>
      <c r="AF30" s="33">
        <f>+'CF YTD 2012 - 2023'!AF25-'CF YTD 2012 - 2023'!AG25</f>
        <v>-15.1</v>
      </c>
      <c r="AG30" s="33">
        <f>+'CF YTD 2012 - 2023'!AG25</f>
        <v>-6.6</v>
      </c>
      <c r="AH30" s="33">
        <v>-19.100000000000001</v>
      </c>
      <c r="AI30" s="33">
        <v>-5.8999999999999995</v>
      </c>
      <c r="AJ30" s="33">
        <v>-6.3</v>
      </c>
      <c r="AK30" s="33">
        <v>-0.4</v>
      </c>
      <c r="AL30" s="33">
        <v>-12.699999999999996</v>
      </c>
      <c r="AM30" s="33">
        <v>-11.900000000000002</v>
      </c>
      <c r="AN30" s="33">
        <v>-14.9</v>
      </c>
      <c r="AO30" s="33">
        <v>-12.9</v>
      </c>
      <c r="AP30" s="33">
        <v>-15.909999999999997</v>
      </c>
      <c r="AQ30" s="33">
        <v>-18.600000000000001</v>
      </c>
      <c r="AR30" s="33">
        <v>-7.6000000000000005</v>
      </c>
      <c r="AS30" s="33">
        <v>-2.2999999999999998</v>
      </c>
      <c r="AT30" s="33">
        <v>-10.299999999999999</v>
      </c>
      <c r="AU30" s="33">
        <v>-5.8</v>
      </c>
      <c r="AV30" s="33">
        <v>-2.8</v>
      </c>
      <c r="AW30" s="33">
        <v>-2</v>
      </c>
    </row>
    <row r="31" spans="2:49" x14ac:dyDescent="0.3">
      <c r="B31" s="5" t="s">
        <v>69</v>
      </c>
      <c r="C31" s="33">
        <f>+'CF YTD 2012 - 2023'!C26-'CF YTD 2012 - 2023'!D26</f>
        <v>0</v>
      </c>
      <c r="D31" s="33">
        <f>+'CF YTD 2012 - 2023'!D26-'CF YTD 2012 - 2023'!E26</f>
        <v>0</v>
      </c>
      <c r="E31" s="33">
        <f>+'CF YTD 2012 - 2023'!E26-'CF YTD 2012 - 2023'!AX26</f>
        <v>0</v>
      </c>
      <c r="F31" s="33">
        <f>+'CF YTD 2012 - 2023'!F26-'CF YTD 2012 - 2023'!G26</f>
        <v>0</v>
      </c>
      <c r="G31" s="33">
        <f>+'CF YTD 2012 - 2023'!G26-'CF YTD 2012 - 2023'!H26</f>
        <v>0</v>
      </c>
      <c r="H31" s="33">
        <f>+'CF YTD 2012 - 2023'!H26-'CF YTD 2012 - 2023'!I26</f>
        <v>0</v>
      </c>
      <c r="I31" s="33">
        <f>+'CF YTD 2012 - 2023'!I26-'CF YTD 2012 - 2023'!BB26</f>
        <v>0</v>
      </c>
      <c r="J31" s="33">
        <f>+'CF YTD 2012 - 2023'!J26-'CF YTD 2012 - 2023'!K26</f>
        <v>336.3</v>
      </c>
      <c r="K31" s="33">
        <f>+'CF YTD 2012 - 2023'!K26-'CF YTD 2012 - 2023'!L26</f>
        <v>0</v>
      </c>
      <c r="L31" s="33">
        <f>+'CF YTD 2012 - 2023'!L26-'CF YTD 2012 - 2023'!M26</f>
        <v>0</v>
      </c>
      <c r="M31" s="33">
        <f>+'CF YTD 2012 - 2023'!M26-'CF YTD 2012 - 2023'!AZ26</f>
        <v>0</v>
      </c>
      <c r="N31" s="33">
        <f>+'CF YTD 2012 - 2023'!N26-'CF YTD 2012 - 2023'!O26</f>
        <v>0</v>
      </c>
      <c r="O31" s="33">
        <f>+'CF YTD 2012 - 2023'!O26-'CF YTD 2012 - 2023'!P26</f>
        <v>0</v>
      </c>
      <c r="P31" s="33">
        <f>+'CF YTD 2012 - 2023'!P26-'CF YTD 2012 - 2023'!Q26</f>
        <v>0</v>
      </c>
      <c r="Q31" s="33">
        <f>+'CF YTD 2012 - 2023'!Q26-'CF YTD 2012 - 2023'!AZ26</f>
        <v>0</v>
      </c>
      <c r="R31" s="33">
        <f>+'CF YTD 2012 - 2023'!R26-'CF YTD 2012 - 2023'!S26</f>
        <v>0</v>
      </c>
      <c r="S31" s="33">
        <f>+'CF YTD 2012 - 2023'!S26-'CF YTD 2012 - 2023'!T26</f>
        <v>0</v>
      </c>
      <c r="T31" s="33">
        <f>+'CF YTD 2012 - 2023'!T26-'CF YTD 2012 - 2023'!U26</f>
        <v>0</v>
      </c>
      <c r="U31" s="33">
        <f>+'CF YTD 2012 - 2023'!U26-'CF YTD 2012 - 2023'!AZ26</f>
        <v>0</v>
      </c>
      <c r="V31" s="33">
        <f>+'CF YTD 2012 - 2023'!V26-'CF YTD 2012 - 2023'!W26</f>
        <v>0</v>
      </c>
      <c r="W31" s="33">
        <f>+'CF YTD 2012 - 2023'!W26-'CF YTD 2012 - 2023'!X26</f>
        <v>0</v>
      </c>
      <c r="X31" s="33">
        <f>+'CF YTD 2012 - 2023'!X26-'CF YTD 2012 - 2023'!Y26</f>
        <v>0</v>
      </c>
      <c r="Y31" s="33">
        <f>+'CF YTD 2012 - 2023'!Y26-'CF YTD 2012 - 2023'!AX26</f>
        <v>0</v>
      </c>
      <c r="Z31" s="33">
        <f>+'CF YTD 2012 - 2023'!Z26-'CF YTD 2012 - 2023'!AA26</f>
        <v>0</v>
      </c>
      <c r="AA31" s="33">
        <f>+'CF YTD 2012 - 2023'!AA26-'CF YTD 2012 - 2023'!AB26</f>
        <v>0</v>
      </c>
      <c r="AB31" s="33">
        <f>+'CF YTD 2012 - 2023'!AB26-'CF YTD 2012 - 2023'!AC26</f>
        <v>0</v>
      </c>
      <c r="AC31" s="33">
        <f>+'CF YTD 2012 - 2023'!AC26-'CF YTD 2012 - 2023'!AX26</f>
        <v>0</v>
      </c>
      <c r="AD31" s="33">
        <f>+'CF YTD 2012 - 2023'!AD26-'CF YTD 2012 - 2023'!AE26</f>
        <v>2</v>
      </c>
      <c r="AE31" s="33">
        <f>+'CF YTD 2012 - 2023'!AE26-'CF YTD 2012 - 2023'!AF26</f>
        <v>0</v>
      </c>
      <c r="AF31" s="33">
        <f>+'CF YTD 2012 - 2023'!AF26-'CF YTD 2012 - 2023'!AG26</f>
        <v>0</v>
      </c>
      <c r="AG31" s="33">
        <f>+'CF YTD 2012 - 2023'!AG26</f>
        <v>0</v>
      </c>
      <c r="AH31" s="33">
        <v>1.2</v>
      </c>
      <c r="AI31" s="33">
        <v>0</v>
      </c>
      <c r="AJ31" s="33">
        <v>0</v>
      </c>
      <c r="AK31" s="33">
        <v>0</v>
      </c>
      <c r="AL31" s="33">
        <v>0.1</v>
      </c>
      <c r="AM31" s="33">
        <v>0</v>
      </c>
      <c r="AN31" s="33">
        <v>0</v>
      </c>
      <c r="AO31" s="33">
        <v>0</v>
      </c>
      <c r="AP31" s="33">
        <v>1.847</v>
      </c>
      <c r="AQ31" s="33">
        <v>0.2</v>
      </c>
      <c r="AR31" s="33">
        <v>-0.2</v>
      </c>
      <c r="AS31" s="33">
        <v>0</v>
      </c>
      <c r="AT31" s="33">
        <v>0.1</v>
      </c>
      <c r="AU31" s="33">
        <v>0</v>
      </c>
      <c r="AV31" s="33">
        <v>0</v>
      </c>
      <c r="AW31" s="33">
        <v>0</v>
      </c>
    </row>
    <row r="32" spans="2:49" x14ac:dyDescent="0.3">
      <c r="B32" s="5" t="s">
        <v>277</v>
      </c>
      <c r="C32" s="33">
        <f>+'CF YTD 2012 - 2023'!C27-'CF YTD 2012 - 2023'!D27</f>
        <v>0</v>
      </c>
      <c r="D32" s="33">
        <f>+'CF YTD 2012 - 2023'!D27-'CF YTD 2012 - 2023'!E27</f>
        <v>-1835.4</v>
      </c>
      <c r="E32" s="33">
        <v>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33">
        <v>0</v>
      </c>
      <c r="AA32" s="33">
        <v>0</v>
      </c>
      <c r="AB32" s="33">
        <v>0</v>
      </c>
      <c r="AC32" s="33">
        <v>0</v>
      </c>
      <c r="AD32" s="33">
        <v>0</v>
      </c>
      <c r="AE32" s="33">
        <v>0</v>
      </c>
      <c r="AF32" s="33">
        <v>0</v>
      </c>
      <c r="AG32" s="33">
        <v>0</v>
      </c>
      <c r="AH32" s="33">
        <v>0</v>
      </c>
      <c r="AI32" s="33">
        <v>0</v>
      </c>
      <c r="AJ32" s="33">
        <v>0</v>
      </c>
      <c r="AK32" s="33">
        <v>0</v>
      </c>
      <c r="AL32" s="33">
        <v>0</v>
      </c>
      <c r="AM32" s="33">
        <v>0</v>
      </c>
      <c r="AN32" s="33">
        <v>0</v>
      </c>
      <c r="AO32" s="33">
        <v>0</v>
      </c>
      <c r="AP32" s="33">
        <v>0</v>
      </c>
      <c r="AQ32" s="33">
        <v>0</v>
      </c>
      <c r="AR32" s="33">
        <v>0</v>
      </c>
      <c r="AS32" s="33">
        <v>0</v>
      </c>
      <c r="AT32" s="33">
        <v>0</v>
      </c>
      <c r="AU32" s="33">
        <v>0</v>
      </c>
      <c r="AV32" s="33">
        <v>0</v>
      </c>
      <c r="AW32" s="33">
        <v>0</v>
      </c>
    </row>
    <row r="33" spans="2:49" x14ac:dyDescent="0.3">
      <c r="B33" s="5" t="s">
        <v>70</v>
      </c>
      <c r="C33" s="33">
        <f>+'CF YTD 2012 - 2023'!C28-'CF YTD 2012 - 2023'!D28</f>
        <v>-6.7000000000000028</v>
      </c>
      <c r="D33" s="33">
        <f>+'CF YTD 2012 - 2023'!D28-'CF YTD 2012 - 2023'!E28</f>
        <v>-19.999999999999996</v>
      </c>
      <c r="E33" s="33">
        <f>+'CF YTD 2012 - 2023'!E28-'CF YTD 2012 - 2023'!AX28</f>
        <v>-15.8</v>
      </c>
      <c r="F33" s="33">
        <f>+'CF YTD 2012 - 2023'!F28-'CF YTD 2012 - 2023'!G28</f>
        <v>-42.599999999999994</v>
      </c>
      <c r="G33" s="33">
        <f>+'CF YTD 2012 - 2023'!G28-'CF YTD 2012 - 2023'!H28</f>
        <v>-0.30000000000001137</v>
      </c>
      <c r="H33" s="33">
        <f>+'CF YTD 2012 - 2023'!H28-'CF YTD 2012 - 2023'!I28</f>
        <v>-117.5</v>
      </c>
      <c r="I33" s="33">
        <f>+'CF YTD 2012 - 2023'!I28-'CF YTD 2012 - 2023'!BB28</f>
        <v>-9.1</v>
      </c>
      <c r="J33" s="33">
        <f>+'CF YTD 2012 - 2023'!J28-'CF YTD 2012 - 2023'!K28</f>
        <v>-23.7</v>
      </c>
      <c r="K33" s="33">
        <f>+'CF YTD 2012 - 2023'!K28-'CF YTD 2012 - 2023'!L28</f>
        <v>-14.700000000000001</v>
      </c>
      <c r="L33" s="33">
        <f>+'CF YTD 2012 - 2023'!L28-'CF YTD 2012 - 2023'!M28</f>
        <v>-0.19999999999999996</v>
      </c>
      <c r="M33" s="33">
        <f>+'CF YTD 2012 - 2023'!M28-'CF YTD 2012 - 2023'!AZ28</f>
        <v>-0.4</v>
      </c>
      <c r="N33" s="33">
        <f>+'CF YTD 2012 - 2023'!N28-'CF YTD 2012 - 2023'!O28</f>
        <v>0</v>
      </c>
      <c r="O33" s="33">
        <f>+'CF YTD 2012 - 2023'!O28-'CF YTD 2012 - 2023'!P28</f>
        <v>-0.20000000000000018</v>
      </c>
      <c r="P33" s="33">
        <f>+'CF YTD 2012 - 2023'!P28-'CF YTD 2012 - 2023'!Q28</f>
        <v>-0.29999999999999982</v>
      </c>
      <c r="Q33" s="33">
        <f>+'CF YTD 2012 - 2023'!Q28-'CF YTD 2012 - 2023'!AZ28</f>
        <v>-2.2000000000000002</v>
      </c>
      <c r="R33" s="33">
        <f>+'CF YTD 2012 - 2023'!R28-'CF YTD 2012 - 2023'!S28</f>
        <v>0</v>
      </c>
      <c r="S33" s="33">
        <f>+'CF YTD 2012 - 2023'!S28-'CF YTD 2012 - 2023'!T28</f>
        <v>0</v>
      </c>
      <c r="T33" s="33">
        <f>+'CF YTD 2012 - 2023'!T28-'CF YTD 2012 - 2023'!U28</f>
        <v>0</v>
      </c>
      <c r="U33" s="33">
        <f>+'CF YTD 2012 - 2023'!U28-'CF YTD 2012 - 2023'!AZ28</f>
        <v>0</v>
      </c>
      <c r="V33" s="33">
        <f>+'CF YTD 2012 - 2023'!V28-'CF YTD 2012 - 2023'!W28</f>
        <v>0</v>
      </c>
      <c r="W33" s="33">
        <f>+'CF YTD 2012 - 2023'!W28-'CF YTD 2012 - 2023'!X28</f>
        <v>0</v>
      </c>
      <c r="X33" s="33">
        <f>+'CF YTD 2012 - 2023'!X28-'CF YTD 2012 - 2023'!Y28</f>
        <v>0</v>
      </c>
      <c r="Y33" s="33">
        <f>+'CF YTD 2012 - 2023'!Y28-'CF YTD 2012 - 2023'!AX28</f>
        <v>-0.1</v>
      </c>
      <c r="Z33" s="33">
        <f>+'CF YTD 2012 - 2023'!Z28-'CF YTD 2012 - 2023'!AA28</f>
        <v>0.30000000000000004</v>
      </c>
      <c r="AA33" s="33">
        <f>+'CF YTD 2012 - 2023'!AA28-'CF YTD 2012 - 2023'!AB28</f>
        <v>0</v>
      </c>
      <c r="AB33" s="33">
        <f>+'CF YTD 2012 - 2023'!AB28-'CF YTD 2012 - 2023'!AC28</f>
        <v>0</v>
      </c>
      <c r="AC33" s="33">
        <f>+'CF YTD 2012 - 2023'!AC28-'CF YTD 2012 - 2023'!AX28</f>
        <v>-0.2</v>
      </c>
      <c r="AD33" s="33">
        <f>+'CF YTD 2012 - 2023'!AD28-'CF YTD 2012 - 2023'!AE28</f>
        <v>-0.2</v>
      </c>
      <c r="AE33" s="33">
        <f>+'CF YTD 2012 - 2023'!AE28-'CF YTD 2012 - 2023'!AF28</f>
        <v>0</v>
      </c>
      <c r="AF33" s="33">
        <f>+'CF YTD 2012 - 2023'!AF28-'CF YTD 2012 - 2023'!AG28</f>
        <v>0</v>
      </c>
      <c r="AG33" s="33">
        <f>+'CF YTD 2012 - 2023'!AG28</f>
        <v>-0.2</v>
      </c>
      <c r="AH33" s="33">
        <v>0</v>
      </c>
      <c r="AI33" s="33">
        <v>-0.1</v>
      </c>
      <c r="AJ33" s="33">
        <v>0</v>
      </c>
      <c r="AK33" s="33">
        <v>0</v>
      </c>
      <c r="AL33" s="33">
        <v>0.1</v>
      </c>
      <c r="AM33" s="33">
        <v>-0.1</v>
      </c>
      <c r="AN33" s="33">
        <v>0</v>
      </c>
      <c r="AO33" s="33">
        <v>0</v>
      </c>
      <c r="AP33" s="33">
        <v>2.0000000000000018E-3</v>
      </c>
      <c r="AQ33" s="33">
        <v>-0.1</v>
      </c>
      <c r="AR33" s="33">
        <v>0</v>
      </c>
      <c r="AS33" s="33">
        <v>0</v>
      </c>
      <c r="AT33" s="33">
        <v>0.10000000000000003</v>
      </c>
      <c r="AU33" s="33">
        <v>0</v>
      </c>
      <c r="AV33" s="33">
        <v>-0.4</v>
      </c>
      <c r="AW33" s="33">
        <v>0</v>
      </c>
    </row>
    <row r="34" spans="2:49" x14ac:dyDescent="0.3">
      <c r="B34" s="15" t="s">
        <v>71</v>
      </c>
      <c r="C34" s="39">
        <f>+'CF YTD 2012 - 2023'!C29-'CF YTD 2012 - 2023'!D29</f>
        <v>79.5</v>
      </c>
      <c r="D34" s="39">
        <f>+'CF YTD 2012 - 2023'!D29-'CF YTD 2012 - 2023'!E29</f>
        <v>1140.3</v>
      </c>
      <c r="E34" s="39">
        <f>+'CF YTD 2012 - 2023'!E29-'CF YTD 2012 - 2023'!AX29</f>
        <v>589.5</v>
      </c>
      <c r="F34" s="39">
        <f>+'CF YTD 2012 - 2023'!F29-'CF YTD 2012 - 2023'!G29</f>
        <v>266.60000000000002</v>
      </c>
      <c r="G34" s="39">
        <f>+'CF YTD 2012 - 2023'!G29-'CF YTD 2012 - 2023'!H29</f>
        <v>372.29999999999995</v>
      </c>
      <c r="H34" s="39">
        <f>+'CF YTD 2012 - 2023'!H29-'CF YTD 2012 - 2023'!I29</f>
        <v>17.900000000000045</v>
      </c>
      <c r="I34" s="39">
        <f>+'CF YTD 2012 - 2023'!I29-'CF YTD 2012 - 2023'!BB29</f>
        <v>16.8</v>
      </c>
      <c r="J34" s="39">
        <f>+'CF YTD 2012 - 2023'!J29-'CF YTD 2012 - 2023'!K29</f>
        <v>-1168.4000000000001</v>
      </c>
      <c r="K34" s="39">
        <f>+'CF YTD 2012 - 2023'!K29-'CF YTD 2012 - 2023'!L29</f>
        <v>18.500000000000114</v>
      </c>
      <c r="L34" s="39">
        <f>+'CF YTD 2012 - 2023'!L29-'CF YTD 2012 - 2023'!M29</f>
        <v>7.3999999999998636</v>
      </c>
      <c r="M34" s="39">
        <f>+'CF YTD 2012 - 2023'!M29-'CF YTD 2012 - 2023'!AZ29</f>
        <v>-973.3</v>
      </c>
      <c r="N34" s="39">
        <f>+'CF YTD 2012 - 2023'!N29-'CF YTD 2012 - 2023'!O29</f>
        <v>624.69999999999982</v>
      </c>
      <c r="O34" s="39">
        <f>+'CF YTD 2012 - 2023'!O29-'CF YTD 2012 - 2023'!P29</f>
        <v>-2.5999999999999091</v>
      </c>
      <c r="P34" s="39">
        <f>+'CF YTD 2012 - 2023'!P29-'CF YTD 2012 - 2023'!Q29</f>
        <v>-1251.5</v>
      </c>
      <c r="Q34" s="39">
        <f>+'CF YTD 2012 - 2023'!Q29-'CF YTD 2012 - 2023'!AZ29</f>
        <v>-572.70000000000005</v>
      </c>
      <c r="R34" s="39">
        <f>+'CF YTD 2012 - 2023'!R29-'CF YTD 2012 - 2023'!S29</f>
        <v>1207.8</v>
      </c>
      <c r="S34" s="39">
        <f>+'CF YTD 2012 - 2023'!S29-'CF YTD 2012 - 2023'!T29</f>
        <v>126.19999999999993</v>
      </c>
      <c r="T34" s="39">
        <f>+'CF YTD 2012 - 2023'!T29-'CF YTD 2012 - 2023'!U29</f>
        <v>261.10000000000002</v>
      </c>
      <c r="U34" s="39">
        <f>+'CF YTD 2012 - 2023'!U29-'CF YTD 2012 - 2023'!AZ29</f>
        <v>266</v>
      </c>
      <c r="V34" s="39">
        <f>+'CF YTD 2012 - 2023'!V29-'CF YTD 2012 - 2023'!W29</f>
        <v>2.7000000000000455</v>
      </c>
      <c r="W34" s="39">
        <f>+'CF YTD 2012 - 2023'!W29-'CF YTD 2012 - 2023'!X29</f>
        <v>233.29999999999995</v>
      </c>
      <c r="X34" s="39">
        <f>+'CF YTD 2012 - 2023'!X29-'CF YTD 2012 - 2023'!Y29</f>
        <v>-6.3999999999999204</v>
      </c>
      <c r="Y34" s="39">
        <f>+'CF YTD 2012 - 2023'!Y29-'CF YTD 2012 - 2023'!AX29</f>
        <v>-0.40000000000003411</v>
      </c>
      <c r="Z34" s="39">
        <f>+'CF YTD 2012 - 2023'!Z29-'CF YTD 2012 - 2023'!AA29</f>
        <v>-351.20000000000016</v>
      </c>
      <c r="AA34" s="39">
        <f>+'CF YTD 2012 - 2023'!AA29-'CF YTD 2012 - 2023'!AB29</f>
        <v>-1.9000000000000909</v>
      </c>
      <c r="AB34" s="39">
        <f>+'CF YTD 2012 - 2023'!AB29-'CF YTD 2012 - 2023'!AC29</f>
        <v>-906.39999999999986</v>
      </c>
      <c r="AC34" s="39">
        <f>+'CF YTD 2012 - 2023'!AC29-'CF YTD 2012 - 2023'!AX29</f>
        <v>-7.1</v>
      </c>
      <c r="AD34" s="39">
        <f>+'CF YTD 2012 - 2023'!AD29-'CF YTD 2012 - 2023'!AE29</f>
        <v>-3.9000000000000909</v>
      </c>
      <c r="AE34" s="39">
        <f>+'CF YTD 2012 - 2023'!AE29-'CF YTD 2012 - 2023'!AF29</f>
        <v>-2.5</v>
      </c>
      <c r="AF34" s="39">
        <f>+'CF YTD 2012 - 2023'!AF29-'CF YTD 2012 - 2023'!AG29</f>
        <v>-251.7</v>
      </c>
      <c r="AG34" s="39">
        <f>+'CF YTD 2012 - 2023'!AG29</f>
        <v>-100.2</v>
      </c>
      <c r="AH34" s="39">
        <v>89.69999999999996</v>
      </c>
      <c r="AI34" s="39">
        <v>1.1999999999999886</v>
      </c>
      <c r="AJ34" s="39">
        <v>-205.1</v>
      </c>
      <c r="AK34" s="39">
        <v>-5</v>
      </c>
      <c r="AL34" s="39">
        <v>-493.79999999999995</v>
      </c>
      <c r="AM34" s="39">
        <v>97.9</v>
      </c>
      <c r="AN34" s="39">
        <v>1.8</v>
      </c>
      <c r="AO34" s="39">
        <v>-3.6</v>
      </c>
      <c r="AP34" s="39">
        <v>91.978999999999999</v>
      </c>
      <c r="AQ34" s="39">
        <v>2.6000000000000085</v>
      </c>
      <c r="AR34" s="39">
        <v>-0.80000000000001137</v>
      </c>
      <c r="AS34" s="39">
        <v>-86.6</v>
      </c>
      <c r="AT34" s="39">
        <v>83.4</v>
      </c>
      <c r="AU34" s="39">
        <v>-0.39999999999999858</v>
      </c>
      <c r="AV34" s="39">
        <v>-2.3999999999999986</v>
      </c>
      <c r="AW34" s="39">
        <v>35.799999999999997</v>
      </c>
    </row>
    <row r="35" spans="2:49" ht="6" customHeight="1" x14ac:dyDescent="0.3"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</row>
    <row r="36" spans="2:49" x14ac:dyDescent="0.3">
      <c r="B36" s="8" t="s">
        <v>72</v>
      </c>
      <c r="C36" s="40">
        <f t="shared" ref="C36" si="32">SUM(C28:C35)</f>
        <v>-100.30000000000001</v>
      </c>
      <c r="D36" s="40">
        <f t="shared" ref="D36:E36" si="33">SUM(D28:D35)</f>
        <v>-1032.3999999999999</v>
      </c>
      <c r="E36" s="40">
        <f t="shared" si="33"/>
        <v>330.9</v>
      </c>
      <c r="F36" s="40">
        <f t="shared" ref="F36:G36" si="34">SUM(F28:F35)</f>
        <v>-586.59999999999991</v>
      </c>
      <c r="G36" s="40">
        <f t="shared" si="34"/>
        <v>196.69999999999993</v>
      </c>
      <c r="H36" s="40">
        <f t="shared" ref="H36:I36" si="35">SUM(H28:H35)</f>
        <v>-196.59999999999997</v>
      </c>
      <c r="I36" s="40">
        <f t="shared" si="35"/>
        <v>-290.90000000000003</v>
      </c>
      <c r="J36" s="40">
        <f t="shared" ref="J36:K36" si="36">SUM(J28:J35)</f>
        <v>-1521</v>
      </c>
      <c r="K36" s="40">
        <f t="shared" si="36"/>
        <v>-176.39999999999986</v>
      </c>
      <c r="L36" s="40">
        <f t="shared" ref="L36:R36" si="37">SUM(L28:L35)</f>
        <v>-110.10000000000015</v>
      </c>
      <c r="M36" s="40">
        <f t="shared" si="37"/>
        <v>-1069.3999999999999</v>
      </c>
      <c r="N36" s="40">
        <f t="shared" si="37"/>
        <v>139.79999999999984</v>
      </c>
      <c r="O36" s="40">
        <f t="shared" si="37"/>
        <v>-106.29999999999993</v>
      </c>
      <c r="P36" s="40">
        <f t="shared" si="37"/>
        <v>-1314.8</v>
      </c>
      <c r="Q36" s="40">
        <f t="shared" si="37"/>
        <v>-630.20000000000005</v>
      </c>
      <c r="R36" s="40">
        <f t="shared" si="37"/>
        <v>-1163.7</v>
      </c>
      <c r="S36" s="40">
        <f t="shared" ref="S36:AW36" si="38">SUM(S28:S35)</f>
        <v>22.79999999999994</v>
      </c>
      <c r="T36" s="40">
        <f t="shared" si="38"/>
        <v>137.80000000000001</v>
      </c>
      <c r="U36" s="40">
        <f t="shared" si="38"/>
        <v>193.2</v>
      </c>
      <c r="V36" s="40">
        <f t="shared" si="38"/>
        <v>-81.099999999999966</v>
      </c>
      <c r="W36" s="40">
        <f t="shared" si="38"/>
        <v>188.09999999999997</v>
      </c>
      <c r="X36" s="40">
        <f t="shared" si="38"/>
        <v>-60.499999999999915</v>
      </c>
      <c r="Y36" s="40">
        <f t="shared" si="38"/>
        <v>-29.400000000000034</v>
      </c>
      <c r="Z36" s="40">
        <f t="shared" si="38"/>
        <v>-402.80000000000018</v>
      </c>
      <c r="AA36" s="40">
        <f t="shared" si="38"/>
        <v>-9.3000000000000913</v>
      </c>
      <c r="AB36" s="40">
        <f t="shared" si="38"/>
        <v>-917.79999999999984</v>
      </c>
      <c r="AC36" s="40">
        <f t="shared" si="38"/>
        <v>-15.299999999999999</v>
      </c>
      <c r="AD36" s="40">
        <f t="shared" si="38"/>
        <v>-30.700000000000092</v>
      </c>
      <c r="AE36" s="40">
        <f t="shared" si="38"/>
        <v>-18.899999999999999</v>
      </c>
      <c r="AF36" s="40">
        <f t="shared" si="38"/>
        <v>-278.3</v>
      </c>
      <c r="AG36" s="40">
        <f t="shared" si="38"/>
        <v>-120.3</v>
      </c>
      <c r="AH36" s="40">
        <f t="shared" si="38"/>
        <v>60.399999999999956</v>
      </c>
      <c r="AI36" s="40">
        <f t="shared" si="38"/>
        <v>-7.5000000000000089</v>
      </c>
      <c r="AJ36" s="40">
        <f t="shared" si="38"/>
        <v>-216.6</v>
      </c>
      <c r="AK36" s="40">
        <f t="shared" si="38"/>
        <v>-14.4</v>
      </c>
      <c r="AL36" s="40">
        <f t="shared" si="38"/>
        <v>-516.59999999999991</v>
      </c>
      <c r="AM36" s="40">
        <f t="shared" si="38"/>
        <v>73.600000000000009</v>
      </c>
      <c r="AN36" s="40">
        <f t="shared" si="38"/>
        <v>-22.900000000000002</v>
      </c>
      <c r="AO36" s="40">
        <f t="shared" si="38"/>
        <v>-37.700000000000003</v>
      </c>
      <c r="AP36" s="40">
        <f t="shared" si="38"/>
        <v>53.893000000000001</v>
      </c>
      <c r="AQ36" s="40">
        <f t="shared" si="38"/>
        <v>-62.899999999999977</v>
      </c>
      <c r="AR36" s="40">
        <f t="shared" si="38"/>
        <v>-38.400000000000013</v>
      </c>
      <c r="AS36" s="40">
        <f t="shared" si="38"/>
        <v>-99.1</v>
      </c>
      <c r="AT36" s="40">
        <f t="shared" si="38"/>
        <v>58.300000000000011</v>
      </c>
      <c r="AU36" s="40">
        <f t="shared" si="38"/>
        <v>-9.2999999999999989</v>
      </c>
      <c r="AV36" s="40">
        <f t="shared" si="38"/>
        <v>-10.299999999999999</v>
      </c>
      <c r="AW36" s="40">
        <f t="shared" si="38"/>
        <v>32.299999999999997</v>
      </c>
    </row>
    <row r="37" spans="2:49" ht="9" customHeight="1" x14ac:dyDescent="0.3"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</row>
    <row r="38" spans="2:49" x14ac:dyDescent="0.3">
      <c r="B38" s="5" t="s">
        <v>181</v>
      </c>
      <c r="C38" s="33">
        <f>+'CF YTD 2012 - 2023'!C31-'CF YTD 2012 - 2023'!D31</f>
        <v>-0.5</v>
      </c>
      <c r="D38" s="33">
        <f>+'CF YTD 2012 - 2023'!D31-'CF YTD 2012 - 2023'!E31</f>
        <v>-0.5</v>
      </c>
      <c r="E38" s="33">
        <f>+'CF YTD 2012 - 2023'!E31-'CF YTD 2012 - 2023'!AX31</f>
        <v>-1104.0999999999999</v>
      </c>
      <c r="F38" s="33">
        <f>+'CF YTD 2012 - 2023'!F31-'CF YTD 2012 - 2023'!G31</f>
        <v>-372.7</v>
      </c>
      <c r="G38" s="33">
        <f>+'CF YTD 2012 - 2023'!G31-'CF YTD 2012 - 2023'!H31</f>
        <v>-0.5</v>
      </c>
      <c r="H38" s="33">
        <f>+'CF YTD 2012 - 2023'!H31-'CF YTD 2012 - 2023'!I31</f>
        <v>-0.60000000000000009</v>
      </c>
      <c r="I38" s="33">
        <f>+'CF YTD 2012 - 2023'!I31-'CF YTD 2012 - 2023'!BB31</f>
        <v>-0.5</v>
      </c>
      <c r="J38" s="33">
        <f>+'CF YTD 2012 - 2023'!J31-'CF YTD 2012 - 2023'!K31</f>
        <v>-0.60000000000000009</v>
      </c>
      <c r="K38" s="33">
        <f>+'CF YTD 2012 - 2023'!K31-'CF YTD 2012 - 2023'!L31</f>
        <v>-0.5</v>
      </c>
      <c r="L38" s="33">
        <f>+'CF YTD 2012 - 2023'!L31-'CF YTD 2012 - 2023'!M31</f>
        <v>-0.60000000000000009</v>
      </c>
      <c r="M38" s="33">
        <f>+'CF YTD 2012 - 2023'!M31-'CF YTD 2012 - 2023'!AZ31</f>
        <v>-0.5</v>
      </c>
      <c r="N38" s="33">
        <f>+'CF YTD 2012 - 2023'!N31-'CF YTD 2012 - 2023'!O31</f>
        <v>8.4000000000000909</v>
      </c>
      <c r="O38" s="33">
        <f>+'CF YTD 2012 - 2023'!O31-'CF YTD 2012 - 2023'!P31</f>
        <v>-0.5</v>
      </c>
      <c r="P38" s="33">
        <f>+'CF YTD 2012 - 2023'!P31-'CF YTD 2012 - 2023'!Q31</f>
        <v>-0.59999999999990905</v>
      </c>
      <c r="Q38" s="33">
        <f>+'CF YTD 2012 - 2023'!Q31-'CF YTD 2012 - 2023'!AZ31</f>
        <v>-1382.9</v>
      </c>
      <c r="R38" s="33">
        <f>+'CF YTD 2012 - 2023'!R31-'CF YTD 2012 - 2023'!S31</f>
        <v>-0.59999999999999432</v>
      </c>
      <c r="S38" s="33">
        <f>+'CF YTD 2012 - 2023'!S31-'CF YTD 2012 - 2023'!T31</f>
        <v>-0.5</v>
      </c>
      <c r="T38" s="33">
        <f>+'CF YTD 2012 - 2023'!T31-'CF YTD 2012 - 2023'!U31</f>
        <v>-0.5</v>
      </c>
      <c r="U38" s="33">
        <f>+'CF YTD 2012 - 2023'!U31-'CF YTD 2012 - 2023'!AZ31</f>
        <v>-247.3</v>
      </c>
      <c r="V38" s="33">
        <f>+'CF YTD 2012 - 2023'!V31-'CF YTD 2012 - 2023'!W31</f>
        <v>-0.60000000000000009</v>
      </c>
      <c r="W38" s="33">
        <f>+'CF YTD 2012 - 2023'!W31-'CF YTD 2012 - 2023'!X31</f>
        <v>-0.5</v>
      </c>
      <c r="X38" s="33">
        <f>+'CF YTD 2012 - 2023'!X31-'CF YTD 2012 - 2023'!Y31</f>
        <v>-0.60000000000000009</v>
      </c>
      <c r="Y38" s="33">
        <f>+'CF YTD 2012 - 2023'!Y31-'CF YTD 2012 - 2023'!AX31</f>
        <v>-0.5</v>
      </c>
      <c r="Z38" s="33">
        <f>+'CF YTD 2012 - 2023'!Z31-'CF YTD 2012 - 2023'!AA31</f>
        <v>-0.5</v>
      </c>
      <c r="AA38" s="33">
        <f>+'CF YTD 2012 - 2023'!AA31-'CF YTD 2012 - 2023'!AB31</f>
        <v>-0.5</v>
      </c>
      <c r="AB38" s="33">
        <f>+'CF YTD 2012 - 2023'!AB31-'CF YTD 2012 - 2023'!AC31</f>
        <v>-0.60000000000000009</v>
      </c>
      <c r="AC38" s="33">
        <f>+'CF YTD 2012 - 2023'!AC31-'CF YTD 2012 - 2023'!AX31</f>
        <v>-0.5</v>
      </c>
      <c r="AD38" s="33">
        <f>+'CF YTD 2012 - 2023'!AD31-'CF YTD 2012 - 2023'!AE31</f>
        <v>-0.5</v>
      </c>
      <c r="AE38" s="33">
        <f>+'CF YTD 2012 - 2023'!AE31-'CF YTD 2012 - 2023'!AF31</f>
        <v>-32.9</v>
      </c>
      <c r="AF38" s="33">
        <f>+'CF YTD 2012 - 2023'!AF31-'CF YTD 2012 - 2023'!AG31</f>
        <v>-0.5</v>
      </c>
      <c r="AG38" s="33">
        <f>+'CF YTD 2012 - 2023'!AG31</f>
        <v>-0.5</v>
      </c>
      <c r="AH38" s="33">
        <v>-0.5</v>
      </c>
      <c r="AI38" s="33">
        <v>-0.49999999999999989</v>
      </c>
      <c r="AJ38" s="33">
        <v>-0.4</v>
      </c>
      <c r="AK38" s="33">
        <v>-0.5</v>
      </c>
      <c r="AL38" s="33">
        <v>-42.6</v>
      </c>
      <c r="AM38" s="33">
        <v>-2.2000000000000002</v>
      </c>
      <c r="AN38" s="33">
        <v>-2.1</v>
      </c>
      <c r="AO38" s="33">
        <v>-2.1</v>
      </c>
      <c r="AP38" s="33">
        <v>-2.1050000000000004</v>
      </c>
      <c r="AQ38" s="33">
        <v>-0.5</v>
      </c>
      <c r="AR38" s="33">
        <v>-2.2999999999999998</v>
      </c>
      <c r="AS38" s="33">
        <v>-2.2000000000000002</v>
      </c>
      <c r="AT38" s="33">
        <v>-2.2999999999999998</v>
      </c>
      <c r="AU38" s="33">
        <v>-2.2999999999999998</v>
      </c>
      <c r="AV38" s="33">
        <v>-2.2000000000000002</v>
      </c>
      <c r="AW38" s="33">
        <v>-2.2000000000000002</v>
      </c>
    </row>
    <row r="39" spans="2:49" x14ac:dyDescent="0.3">
      <c r="B39" s="5" t="s">
        <v>177</v>
      </c>
      <c r="C39" s="33">
        <f>+'CF YTD 2012 - 2023'!C32-'CF YTD 2012 - 2023'!D32</f>
        <v>0</v>
      </c>
      <c r="D39" s="33">
        <f>+'CF YTD 2012 - 2023'!D32-'CF YTD 2012 - 2023'!E32</f>
        <v>160</v>
      </c>
      <c r="E39" s="33">
        <f>+'CF YTD 2012 - 2023'!E32-'CF YTD 2012 - 2023'!AX32</f>
        <v>80</v>
      </c>
      <c r="F39" s="33">
        <f>+'CF YTD 2012 - 2023'!F32-'CF YTD 2012 - 2023'!G32</f>
        <v>603.6</v>
      </c>
      <c r="G39" s="33">
        <f>+'CF YTD 2012 - 2023'!G32-'CF YTD 2012 - 2023'!H32</f>
        <v>80</v>
      </c>
      <c r="H39" s="33">
        <f>+'CF YTD 2012 - 2023'!H32-'CF YTD 2012 - 2023'!I32</f>
        <v>240</v>
      </c>
      <c r="I39" s="33">
        <f>+'CF YTD 2012 - 2023'!I32-'CF YTD 2012 - 2023'!BB32</f>
        <v>80</v>
      </c>
      <c r="J39" s="33">
        <f>+'CF YTD 2012 - 2023'!J32-'CF YTD 2012 - 2023'!K32</f>
        <v>203.60000000000002</v>
      </c>
      <c r="K39" s="33">
        <f>+'CF YTD 2012 - 2023'!K32-'CF YTD 2012 - 2023'!L32</f>
        <v>149.69999999999999</v>
      </c>
      <c r="L39" s="33">
        <f>+'CF YTD 2012 - 2023'!L32-'CF YTD 2012 - 2023'!M32</f>
        <v>306.7</v>
      </c>
      <c r="M39" s="33">
        <f>+'CF YTD 2012 - 2023'!M32-'CF YTD 2012 - 2023'!AZ32</f>
        <v>0</v>
      </c>
      <c r="N39" s="33">
        <f>+'CF YTD 2012 - 2023'!N32-'CF YTD 2012 - 2023'!O32</f>
        <v>0</v>
      </c>
      <c r="O39" s="33">
        <f>+'CF YTD 2012 - 2023'!O32-'CF YTD 2012 - 2023'!P32</f>
        <v>0</v>
      </c>
      <c r="P39" s="33">
        <f>+'CF YTD 2012 - 2023'!P32-'CF YTD 2012 - 2023'!Q32</f>
        <v>0</v>
      </c>
      <c r="Q39" s="33">
        <f>+'CF YTD 2012 - 2023'!Q32-'CF YTD 2012 - 2023'!AZ32</f>
        <v>0</v>
      </c>
      <c r="R39" s="33">
        <f>+'CF YTD 2012 - 2023'!R32-'CF YTD 2012 - 2023'!S32</f>
        <v>1372.9</v>
      </c>
      <c r="S39" s="33">
        <f>+'CF YTD 2012 - 2023'!S32-'CF YTD 2012 - 2023'!T32</f>
        <v>0</v>
      </c>
      <c r="T39" s="33">
        <f>+'CF YTD 2012 - 2023'!T32-'CF YTD 2012 - 2023'!U32</f>
        <v>0</v>
      </c>
      <c r="U39" s="33">
        <f>+'CF YTD 2012 - 2023'!U32-'CF YTD 2012 - 2023'!AZ32</f>
        <v>0</v>
      </c>
      <c r="V39" s="33">
        <f>+'CF YTD 2012 - 2023'!V32-'CF YTD 2012 - 2023'!W32</f>
        <v>-2.4000000000000057</v>
      </c>
      <c r="W39" s="33">
        <f>+'CF YTD 2012 - 2023'!W32-'CF YTD 2012 - 2023'!X32</f>
        <v>-39.200000000000017</v>
      </c>
      <c r="X39" s="33">
        <f>+'CF YTD 2012 - 2023'!X32-'CF YTD 2012 - 2023'!Y32</f>
        <v>177.5</v>
      </c>
      <c r="Y39" s="33">
        <f>+'CF YTD 2012 - 2023'!Y32-'CF YTD 2012 - 2023'!AX32</f>
        <v>110.80000000000001</v>
      </c>
      <c r="Z39" s="33">
        <f>+'CF YTD 2012 - 2023'!Z32-'CF YTD 2012 - 2023'!AA32</f>
        <v>372.2</v>
      </c>
      <c r="AA39" s="33">
        <f>+'CF YTD 2012 - 2023'!AA32-'CF YTD 2012 - 2023'!AB32</f>
        <v>0</v>
      </c>
      <c r="AB39" s="33">
        <f>+'CF YTD 2012 - 2023'!AB32-'CF YTD 2012 - 2023'!AC32</f>
        <v>0</v>
      </c>
      <c r="AC39" s="33">
        <f>+'CF YTD 2012 - 2023'!AC32-'CF YTD 2012 - 2023'!AX32</f>
        <v>0</v>
      </c>
      <c r="AD39" s="33">
        <f>+'CF YTD 2012 - 2023'!AD32-'CF YTD 2012 - 2023'!AE32</f>
        <v>-0.10000000000000142</v>
      </c>
      <c r="AE39" s="33">
        <f>+'CF YTD 2012 - 2023'!AE32-'CF YTD 2012 - 2023'!AF32</f>
        <v>32.5</v>
      </c>
      <c r="AF39" s="33">
        <f>+'CF YTD 2012 - 2023'!AF32-'CF YTD 2012 - 2023'!AG32</f>
        <v>0</v>
      </c>
      <c r="AG39" s="33">
        <f>+'CF YTD 2012 - 2023'!AG32</f>
        <v>0</v>
      </c>
      <c r="AH39" s="33">
        <v>0</v>
      </c>
      <c r="AI39" s="33">
        <v>0</v>
      </c>
      <c r="AJ39" s="33">
        <v>0</v>
      </c>
      <c r="AK39" s="33">
        <v>0</v>
      </c>
      <c r="AL39" s="33">
        <v>0</v>
      </c>
      <c r="AM39" s="33">
        <v>0</v>
      </c>
      <c r="AN39" s="33">
        <v>0</v>
      </c>
      <c r="AO39" s="33">
        <v>0</v>
      </c>
      <c r="AP39" s="33">
        <v>0</v>
      </c>
      <c r="AQ39" s="33">
        <v>0</v>
      </c>
      <c r="AR39" s="33">
        <v>0</v>
      </c>
      <c r="AS39" s="33">
        <v>0</v>
      </c>
      <c r="AT39" s="33">
        <v>0</v>
      </c>
      <c r="AU39" s="33">
        <v>0</v>
      </c>
      <c r="AV39" s="33">
        <v>0</v>
      </c>
      <c r="AW39" s="33">
        <v>0</v>
      </c>
    </row>
    <row r="40" spans="2:49" x14ac:dyDescent="0.3">
      <c r="B40" s="5" t="s">
        <v>197</v>
      </c>
      <c r="C40" s="33">
        <f>+'CF YTD 2012 - 2023'!C33-'CF YTD 2012 - 2023'!D33</f>
        <v>-11.100000000000001</v>
      </c>
      <c r="D40" s="33">
        <f>+'CF YTD 2012 - 2023'!D33-'CF YTD 2012 - 2023'!E33</f>
        <v>-7.6</v>
      </c>
      <c r="E40" s="33">
        <f>+'CF YTD 2012 - 2023'!E33-'CF YTD 2012 - 2023'!AX33</f>
        <v>-5.4</v>
      </c>
      <c r="F40" s="33">
        <f>+'CF YTD 2012 - 2023'!F33-'CF YTD 2012 - 2023'!G33</f>
        <v>-5.8999999999999986</v>
      </c>
      <c r="G40" s="33">
        <f>+'CF YTD 2012 - 2023'!G33-'CF YTD 2012 - 2023'!H33</f>
        <v>-5.7000000000000011</v>
      </c>
      <c r="H40" s="33">
        <f>+'CF YTD 2012 - 2023'!H33-'CF YTD 2012 - 2023'!I33</f>
        <v>-5.7</v>
      </c>
      <c r="I40" s="33">
        <f>+'CF YTD 2012 - 2023'!I33-'CF YTD 2012 - 2023'!BB33</f>
        <v>-4.7</v>
      </c>
      <c r="J40" s="33">
        <f>+'CF YTD 2012 - 2023'!J33-'CF YTD 2012 - 2023'!K33</f>
        <v>-5.0000000000000018</v>
      </c>
      <c r="K40" s="33">
        <f>+'CF YTD 2012 - 2023'!K33-'CF YTD 2012 - 2023'!L33</f>
        <v>-4.9000000000000004</v>
      </c>
      <c r="L40" s="33">
        <f>+'CF YTD 2012 - 2023'!L33-'CF YTD 2012 - 2023'!M33</f>
        <v>-4.7999999999999989</v>
      </c>
      <c r="M40" s="33">
        <f>+'CF YTD 2012 - 2023'!M33-'CF YTD 2012 - 2023'!AZ33</f>
        <v>-4.9000000000000004</v>
      </c>
      <c r="N40" s="33">
        <f>+'CF YTD 2012 - 2023'!N33-'CF YTD 2012 - 2023'!O33</f>
        <v>-4.7000000000000011</v>
      </c>
      <c r="O40" s="33">
        <f>+'CF YTD 2012 - 2023'!O33-'CF YTD 2012 - 2023'!P33</f>
        <v>-4.6999999999999993</v>
      </c>
      <c r="P40" s="33">
        <f>+'CF YTD 2012 - 2023'!P33-'CF YTD 2012 - 2023'!Q33</f>
        <v>-4.9000000000000004</v>
      </c>
      <c r="Q40" s="33">
        <f>+'CF YTD 2012 - 2023'!Q33-'CF YTD 2012 - 2023'!AZ33</f>
        <v>-3.5</v>
      </c>
      <c r="R40" s="33">
        <f>+'CF YTD 2012 - 2023'!R33-'CF YTD 2012 - 2023'!S33</f>
        <v>-3.2000000000000011</v>
      </c>
      <c r="S40" s="33">
        <f>+'CF YTD 2012 - 2023'!S33-'CF YTD 2012 - 2023'!T33</f>
        <v>-3.0999999999999996</v>
      </c>
      <c r="T40" s="33">
        <f>+'CF YTD 2012 - 2023'!T33-'CF YTD 2012 - 2023'!U33</f>
        <v>-3.1999999999999997</v>
      </c>
      <c r="U40" s="33">
        <f>+'CF YTD 2012 - 2023'!U33-'CF YTD 2012 - 2023'!AZ33</f>
        <v>-3.4</v>
      </c>
      <c r="V40" s="33">
        <f>+'CF YTD 2012 - 2023'!V33-'CF YTD 2012 - 2023'!W33</f>
        <v>0</v>
      </c>
      <c r="W40" s="33">
        <f>+'CF YTD 2012 - 2023'!W33-'CF YTD 2012 - 2023'!X33</f>
        <v>0</v>
      </c>
      <c r="X40" s="33">
        <f>+'CF YTD 2012 - 2023'!X33-'CF YTD 2012 - 2023'!Y33</f>
        <v>0</v>
      </c>
      <c r="Y40" s="33">
        <f>+'CF YTD 2012 - 2023'!Y33-'CF YTD 2012 - 2023'!AX33</f>
        <v>0</v>
      </c>
      <c r="Z40" s="33">
        <f>+'CF YTD 2012 - 2023'!Z33-'CF YTD 2012 - 2023'!AA33</f>
        <v>0</v>
      </c>
      <c r="AA40" s="33">
        <f>+'CF YTD 2012 - 2023'!AA33-'CF YTD 2012 - 2023'!AB33</f>
        <v>0</v>
      </c>
      <c r="AB40" s="33">
        <f>+'CF YTD 2012 - 2023'!AB33-'CF YTD 2012 - 2023'!AC33</f>
        <v>0</v>
      </c>
      <c r="AC40" s="33">
        <f>+'CF YTD 2012 - 2023'!AC33-'CF YTD 2012 - 2023'!AX33</f>
        <v>0</v>
      </c>
      <c r="AD40" s="33">
        <f>+'CF YTD 2012 - 2023'!AD33-'CF YTD 2012 - 2023'!AE33</f>
        <v>0</v>
      </c>
      <c r="AE40" s="33">
        <f>+'CF YTD 2012 - 2023'!AE33-'CF YTD 2012 - 2023'!AF33</f>
        <v>0</v>
      </c>
      <c r="AF40" s="33">
        <f>+'CF YTD 2012 - 2023'!AF33-'CF YTD 2012 - 2023'!AG33</f>
        <v>0</v>
      </c>
      <c r="AG40" s="33">
        <f>+'CF YTD 2012 - 2023'!AG33</f>
        <v>0</v>
      </c>
      <c r="AH40" s="33">
        <v>0</v>
      </c>
      <c r="AI40" s="33">
        <v>0</v>
      </c>
      <c r="AJ40" s="33">
        <v>0</v>
      </c>
      <c r="AK40" s="33">
        <v>0</v>
      </c>
      <c r="AL40" s="33">
        <v>0</v>
      </c>
      <c r="AM40" s="33">
        <v>0</v>
      </c>
      <c r="AN40" s="33">
        <v>0</v>
      </c>
      <c r="AO40" s="33">
        <v>0</v>
      </c>
      <c r="AP40" s="33">
        <v>0</v>
      </c>
      <c r="AQ40" s="33">
        <v>0</v>
      </c>
      <c r="AR40" s="33">
        <v>0</v>
      </c>
      <c r="AS40" s="33">
        <v>0</v>
      </c>
      <c r="AT40" s="33">
        <v>0</v>
      </c>
      <c r="AU40" s="33">
        <v>0</v>
      </c>
      <c r="AV40" s="33">
        <v>0</v>
      </c>
      <c r="AW40" s="33">
        <v>0</v>
      </c>
    </row>
    <row r="41" spans="2:49" x14ac:dyDescent="0.3">
      <c r="B41" s="5" t="s">
        <v>116</v>
      </c>
      <c r="C41" s="33">
        <f>+'CF YTD 2012 - 2023'!C34-'CF YTD 2012 - 2023'!D34</f>
        <v>0</v>
      </c>
      <c r="D41" s="33">
        <f>+'CF YTD 2012 - 2023'!D34-'CF YTD 2012 - 2023'!E34</f>
        <v>8.1999999999999993</v>
      </c>
      <c r="E41" s="33">
        <f>+'CF YTD 2012 - 2023'!E34-'CF YTD 2012 - 2023'!AX34</f>
        <v>13.3</v>
      </c>
      <c r="F41" s="33">
        <f>+'CF YTD 2012 - 2023'!F34-'CF YTD 2012 - 2023'!G34</f>
        <v>5.7999999999999972</v>
      </c>
      <c r="G41" s="33">
        <f>+'CF YTD 2012 - 2023'!G34-'CF YTD 2012 - 2023'!H34</f>
        <v>30.6</v>
      </c>
      <c r="H41" s="33">
        <f>+'CF YTD 2012 - 2023'!H34-'CF YTD 2012 - 2023'!I34</f>
        <v>0.9</v>
      </c>
      <c r="I41" s="33">
        <f>+'CF YTD 2012 - 2023'!I34-'CF YTD 2012 - 2023'!BB34</f>
        <v>0.6</v>
      </c>
      <c r="J41" s="33">
        <f>+'CF YTD 2012 - 2023'!J34-'CF YTD 2012 - 2023'!K34</f>
        <v>6.4000000000000057</v>
      </c>
      <c r="K41" s="33">
        <f>+'CF YTD 2012 - 2023'!K34-'CF YTD 2012 - 2023'!L34</f>
        <v>56</v>
      </c>
      <c r="L41" s="33">
        <f>+'CF YTD 2012 - 2023'!L34-'CF YTD 2012 - 2023'!M34</f>
        <v>16.599999999999998</v>
      </c>
      <c r="M41" s="33">
        <f>+'CF YTD 2012 - 2023'!M34-'CF YTD 2012 - 2023'!AZ34</f>
        <v>28.2</v>
      </c>
      <c r="N41" s="33">
        <f>+'CF YTD 2012 - 2023'!N34-'CF YTD 2012 - 2023'!O34</f>
        <v>0</v>
      </c>
      <c r="O41" s="33">
        <f>+'CF YTD 2012 - 2023'!O34-'CF YTD 2012 - 2023'!P34</f>
        <v>0</v>
      </c>
      <c r="P41" s="33">
        <f>+'CF YTD 2012 - 2023'!P34-'CF YTD 2012 - 2023'!Q34</f>
        <v>15.6</v>
      </c>
      <c r="Q41" s="33">
        <f>+'CF YTD 2012 - 2023'!Q34-'CF YTD 2012 - 2023'!AZ34</f>
        <v>0</v>
      </c>
      <c r="R41" s="33">
        <f>+'CF YTD 2012 - 2023'!R34-'CF YTD 2012 - 2023'!S34</f>
        <v>0</v>
      </c>
      <c r="S41" s="33">
        <f>+'CF YTD 2012 - 2023'!S34-'CF YTD 2012 - 2023'!T34</f>
        <v>9</v>
      </c>
      <c r="T41" s="33">
        <f>+'CF YTD 2012 - 2023'!T34-'CF YTD 2012 - 2023'!U34</f>
        <v>1.3</v>
      </c>
      <c r="U41" s="33">
        <f>+'CF YTD 2012 - 2023'!U34-'CF YTD 2012 - 2023'!AZ34</f>
        <v>0</v>
      </c>
      <c r="V41" s="33">
        <f>+'CF YTD 2012 - 2023'!V34-'CF YTD 2012 - 2023'!W34</f>
        <v>0</v>
      </c>
      <c r="W41" s="33">
        <f>+'CF YTD 2012 - 2023'!W34-'CF YTD 2012 - 2023'!X34</f>
        <v>0</v>
      </c>
      <c r="X41" s="33">
        <f>+'CF YTD 2012 - 2023'!X34-'CF YTD 2012 - 2023'!Y34</f>
        <v>5.4</v>
      </c>
      <c r="Y41" s="33">
        <f>+'CF YTD 2012 - 2023'!Y34-'CF YTD 2012 - 2023'!AX34</f>
        <v>0</v>
      </c>
      <c r="Z41" s="33">
        <f>+'CF YTD 2012 - 2023'!Z34-'CF YTD 2012 - 2023'!AA34</f>
        <v>30.999999999999996</v>
      </c>
      <c r="AA41" s="33">
        <f>+'CF YTD 2012 - 2023'!AA34-'CF YTD 2012 - 2023'!AB34</f>
        <v>0</v>
      </c>
      <c r="AB41" s="33">
        <f>+'CF YTD 2012 - 2023'!AB34-'CF YTD 2012 - 2023'!AC34</f>
        <v>3.2000000000000011</v>
      </c>
      <c r="AC41" s="33">
        <f>+'CF YTD 2012 - 2023'!AC34-'CF YTD 2012 - 2023'!AX34</f>
        <v>6.6</v>
      </c>
      <c r="AD41" s="33">
        <f>+'CF YTD 2012 - 2023'!AD34-'CF YTD 2012 - 2023'!AE34</f>
        <v>28.999999999999996</v>
      </c>
      <c r="AE41" s="33">
        <f>+'CF YTD 2012 - 2023'!AE34-'CF YTD 2012 - 2023'!AF34</f>
        <v>0.40000000000000036</v>
      </c>
      <c r="AF41" s="33">
        <f>+'CF YTD 2012 - 2023'!AF34-'CF YTD 2012 - 2023'!AG34</f>
        <v>5.4</v>
      </c>
      <c r="AG41" s="33">
        <f>+'CF YTD 2012 - 2023'!AG34</f>
        <v>2.5</v>
      </c>
      <c r="AH41" s="33">
        <v>10.8</v>
      </c>
      <c r="AI41" s="33">
        <v>1.8000000000000007</v>
      </c>
      <c r="AJ41" s="33">
        <v>4.3000000000000007</v>
      </c>
      <c r="AK41" s="33">
        <v>11.7</v>
      </c>
      <c r="AL41" s="33">
        <v>12.200000000000001</v>
      </c>
      <c r="AM41" s="33">
        <v>0</v>
      </c>
      <c r="AN41" s="33">
        <v>2.1</v>
      </c>
      <c r="AO41" s="33">
        <v>0</v>
      </c>
      <c r="AP41" s="33">
        <v>0</v>
      </c>
      <c r="AQ41" s="33">
        <v>0</v>
      </c>
      <c r="AR41" s="33">
        <v>0</v>
      </c>
      <c r="AS41" s="33">
        <v>0</v>
      </c>
      <c r="AT41" s="33">
        <v>0</v>
      </c>
      <c r="AU41" s="33">
        <v>0</v>
      </c>
      <c r="AV41" s="33">
        <v>0</v>
      </c>
      <c r="AW41" s="33">
        <v>0</v>
      </c>
    </row>
    <row r="42" spans="2:49" x14ac:dyDescent="0.3">
      <c r="B42" s="5" t="s">
        <v>73</v>
      </c>
      <c r="C42" s="33">
        <f>+'CF YTD 2012 - 2023'!C35-'CF YTD 2012 - 2023'!D35</f>
        <v>0</v>
      </c>
      <c r="D42" s="33">
        <f>+'CF YTD 2012 - 2023'!D35-'CF YTD 2012 - 2023'!E35</f>
        <v>0</v>
      </c>
      <c r="E42" s="33">
        <f>+'CF YTD 2012 - 2023'!E35-'CF YTD 2012 - 2023'!AX35</f>
        <v>0</v>
      </c>
      <c r="F42" s="33">
        <f>+'CF YTD 2012 - 2023'!F35-'CF YTD 2012 - 2023'!G35</f>
        <v>0</v>
      </c>
      <c r="G42" s="33">
        <f>+'CF YTD 2012 - 2023'!G35-'CF YTD 2012 - 2023'!H35</f>
        <v>0</v>
      </c>
      <c r="H42" s="33">
        <f>+'CF YTD 2012 - 2023'!H35-'CF YTD 2012 - 2023'!I35</f>
        <v>0</v>
      </c>
      <c r="I42" s="33">
        <f>+'CF YTD 2012 - 2023'!I35-'CF YTD 2012 - 2023'!BB35</f>
        <v>0</v>
      </c>
      <c r="J42" s="33">
        <f>+'CF YTD 2012 - 2023'!J35-'CF YTD 2012 - 2023'!K35</f>
        <v>0</v>
      </c>
      <c r="K42" s="33">
        <f>+'CF YTD 2012 - 2023'!K35-'CF YTD 2012 - 2023'!L35</f>
        <v>0</v>
      </c>
      <c r="L42" s="33">
        <f>+'CF YTD 2012 - 2023'!L35-'CF YTD 2012 - 2023'!M35</f>
        <v>0</v>
      </c>
      <c r="M42" s="33">
        <f>+'CF YTD 2012 - 2023'!M35-'CF YTD 2012 - 2023'!AZ35</f>
        <v>0</v>
      </c>
      <c r="N42" s="33">
        <f>+'CF YTD 2012 - 2023'!N35-'CF YTD 2012 - 2023'!O35</f>
        <v>0</v>
      </c>
      <c r="O42" s="33">
        <f>+'CF YTD 2012 - 2023'!O35-'CF YTD 2012 - 2023'!P35</f>
        <v>0</v>
      </c>
      <c r="P42" s="33">
        <f>+'CF YTD 2012 - 2023'!P35-'CF YTD 2012 - 2023'!Q35</f>
        <v>0</v>
      </c>
      <c r="Q42" s="33">
        <f>+'CF YTD 2012 - 2023'!Q35-'CF YTD 2012 - 2023'!AZ35</f>
        <v>0</v>
      </c>
      <c r="R42" s="33">
        <f>+'CF YTD 2012 - 2023'!R35-'CF YTD 2012 - 2023'!S35</f>
        <v>0</v>
      </c>
      <c r="S42" s="33">
        <f>+'CF YTD 2012 - 2023'!S35-'CF YTD 2012 - 2023'!T35</f>
        <v>0</v>
      </c>
      <c r="T42" s="33">
        <f>+'CF YTD 2012 - 2023'!T35-'CF YTD 2012 - 2023'!U35</f>
        <v>0</v>
      </c>
      <c r="U42" s="33">
        <f>+'CF YTD 2012 - 2023'!U35-'CF YTD 2012 - 2023'!AZ35</f>
        <v>0</v>
      </c>
      <c r="V42" s="33">
        <f>+'CF YTD 2012 - 2023'!V35-'CF YTD 2012 - 2023'!W35</f>
        <v>0</v>
      </c>
      <c r="W42" s="33">
        <f>+'CF YTD 2012 - 2023'!W35-'CF YTD 2012 - 2023'!X35</f>
        <v>0</v>
      </c>
      <c r="X42" s="33">
        <f>+'CF YTD 2012 - 2023'!X35-'CF YTD 2012 - 2023'!Y35</f>
        <v>0</v>
      </c>
      <c r="Y42" s="33">
        <f>+'CF YTD 2012 - 2023'!Y35-'CF YTD 2012 - 2023'!AX35</f>
        <v>0</v>
      </c>
      <c r="Z42" s="33">
        <f>+'CF YTD 2012 - 2023'!Z35-'CF YTD 2012 - 2023'!AA35</f>
        <v>0</v>
      </c>
      <c r="AA42" s="33">
        <f>+'CF YTD 2012 - 2023'!AA35-'CF YTD 2012 - 2023'!AB35</f>
        <v>0</v>
      </c>
      <c r="AB42" s="33">
        <f>+'CF YTD 2012 - 2023'!AB35-'CF YTD 2012 - 2023'!AC35</f>
        <v>0</v>
      </c>
      <c r="AC42" s="33">
        <f>+'CF YTD 2012 - 2023'!AC35-'CF YTD 2012 - 2023'!AX35</f>
        <v>0</v>
      </c>
      <c r="AD42" s="33">
        <f>+'CF YTD 2012 - 2023'!AD35-'CF YTD 2012 - 2023'!AE35</f>
        <v>0</v>
      </c>
      <c r="AE42" s="33">
        <f>+'CF YTD 2012 - 2023'!AE35-'CF YTD 2012 - 2023'!AF35</f>
        <v>0</v>
      </c>
      <c r="AF42" s="33">
        <f>+'CF YTD 2012 - 2023'!AF35-'CF YTD 2012 - 2023'!AG35</f>
        <v>0</v>
      </c>
      <c r="AG42" s="33">
        <f>+'CF YTD 2012 - 2023'!AG35</f>
        <v>0</v>
      </c>
      <c r="AH42" s="33">
        <v>0</v>
      </c>
      <c r="AI42" s="33">
        <v>0</v>
      </c>
      <c r="AJ42" s="33">
        <v>0</v>
      </c>
      <c r="AK42" s="33">
        <v>0</v>
      </c>
      <c r="AL42" s="33">
        <v>0</v>
      </c>
      <c r="AM42" s="33">
        <v>0</v>
      </c>
      <c r="AN42" s="33">
        <v>0</v>
      </c>
      <c r="AO42" s="33">
        <v>0</v>
      </c>
      <c r="AP42" s="33">
        <v>0</v>
      </c>
      <c r="AQ42" s="33">
        <v>0</v>
      </c>
      <c r="AR42" s="33">
        <v>0</v>
      </c>
      <c r="AS42" s="33">
        <v>0</v>
      </c>
      <c r="AT42" s="33">
        <v>0</v>
      </c>
      <c r="AU42" s="33">
        <v>-0.19999999999999996</v>
      </c>
      <c r="AV42" s="33">
        <v>-0.2</v>
      </c>
      <c r="AW42" s="33">
        <v>-0.2</v>
      </c>
    </row>
    <row r="43" spans="2:49" x14ac:dyDescent="0.3">
      <c r="B43" s="5" t="s">
        <v>224</v>
      </c>
      <c r="C43" s="33">
        <f>+'CF YTD 2012 - 2023'!C36-'CF YTD 2012 - 2023'!D36</f>
        <v>0</v>
      </c>
      <c r="D43" s="33">
        <f>+'CF YTD 2012 - 2023'!D36-'CF YTD 2012 - 2023'!E36</f>
        <v>0</v>
      </c>
      <c r="E43" s="33">
        <f>+'CF YTD 2012 - 2023'!E36-'CF YTD 2012 - 2023'!AX36</f>
        <v>1641.9</v>
      </c>
      <c r="F43" s="33">
        <f>+'CF YTD 2012 - 2023'!F36-'CF YTD 2012 - 2023'!G36</f>
        <v>0</v>
      </c>
      <c r="G43" s="33">
        <f>+'CF YTD 2012 - 2023'!G36-'CF YTD 2012 - 2023'!H36</f>
        <v>0</v>
      </c>
      <c r="H43" s="33">
        <f>+'CF YTD 2012 - 2023'!H36-'CF YTD 2012 - 2023'!I36</f>
        <v>0</v>
      </c>
      <c r="I43" s="33">
        <f>+'CF YTD 2012 - 2023'!I36-'CF YTD 2012 - 2023'!BB36</f>
        <v>0</v>
      </c>
      <c r="J43" s="33">
        <f>+'CF YTD 2012 - 2023'!J36-'CF YTD 2012 - 2023'!K36</f>
        <v>1708.1</v>
      </c>
      <c r="K43" s="33">
        <f>+'CF YTD 2012 - 2023'!K36-'CF YTD 2012 - 2023'!L36</f>
        <v>0</v>
      </c>
      <c r="L43" s="33">
        <f>+'CF YTD 2012 - 2023'!L36-'CF YTD 2012 - 2023'!M36</f>
        <v>0</v>
      </c>
      <c r="M43" s="33">
        <f>+'CF YTD 2012 - 2023'!M36-'CF YTD 2012 - 2023'!AZ36</f>
        <v>1148.5</v>
      </c>
      <c r="N43" s="33">
        <f>+'CF YTD 2012 - 2023'!N36-'CF YTD 2012 - 2023'!O36</f>
        <v>0</v>
      </c>
      <c r="O43" s="33">
        <f>+'CF YTD 2012 - 2023'!O36-'CF YTD 2012 - 2023'!P36</f>
        <v>0</v>
      </c>
      <c r="P43" s="33">
        <f>+'CF YTD 2012 - 2023'!P36-'CF YTD 2012 - 2023'!Q36</f>
        <v>0</v>
      </c>
      <c r="Q43" s="33">
        <f>+'CF YTD 2012 - 2023'!Q36-'CF YTD 2012 - 2023'!AZ36</f>
        <v>2824.3</v>
      </c>
      <c r="R43" s="33">
        <f>+'CF YTD 2012 - 2023'!R36-'CF YTD 2012 - 2023'!S36</f>
        <v>0</v>
      </c>
      <c r="S43" s="33">
        <f>+'CF YTD 2012 - 2023'!S36-'CF YTD 2012 - 2023'!T36</f>
        <v>0</v>
      </c>
      <c r="T43" s="33">
        <f>+'CF YTD 2012 - 2023'!T36-'CF YTD 2012 - 2023'!U36</f>
        <v>0</v>
      </c>
      <c r="U43" s="33">
        <f>+'CF YTD 2012 - 2023'!U36-'CF YTD 2012 - 2023'!AZ36</f>
        <v>0</v>
      </c>
      <c r="V43" s="33">
        <f>+'CF YTD 2012 - 2023'!V36-'CF YTD 2012 - 2023'!W36</f>
        <v>0</v>
      </c>
      <c r="W43" s="33">
        <f>+'CF YTD 2012 - 2023'!W36-'CF YTD 2012 - 2023'!X36</f>
        <v>0</v>
      </c>
      <c r="X43" s="33">
        <f>+'CF YTD 2012 - 2023'!X36-'CF YTD 2012 - 2023'!Y36</f>
        <v>0</v>
      </c>
      <c r="Y43" s="33">
        <f>+'CF YTD 2012 - 2023'!Y36-'CF YTD 2012 - 2023'!AX36</f>
        <v>0</v>
      </c>
      <c r="Z43" s="33">
        <f>+'CF YTD 2012 - 2023'!Z36-'CF YTD 2012 - 2023'!AA36</f>
        <v>0</v>
      </c>
      <c r="AA43" s="33">
        <f>+'CF YTD 2012 - 2023'!AA36-'CF YTD 2012 - 2023'!AB36</f>
        <v>207.5</v>
      </c>
      <c r="AB43" s="33">
        <f>+'CF YTD 2012 - 2023'!AB36-'CF YTD 2012 - 2023'!AC36</f>
        <v>0</v>
      </c>
      <c r="AC43" s="33">
        <f>+'CF YTD 2012 - 2023'!AC36-'CF YTD 2012 - 2023'!AX36</f>
        <v>0</v>
      </c>
      <c r="AD43" s="33">
        <f>+'CF YTD 2012 - 2023'!AD36-'CF YTD 2012 - 2023'!AE36</f>
        <v>0</v>
      </c>
      <c r="AE43" s="33">
        <f>+'CF YTD 2012 - 2023'!AE36-'CF YTD 2012 - 2023'!AF36</f>
        <v>0</v>
      </c>
      <c r="AF43" s="33">
        <f>+'CF YTD 2012 - 2023'!AF36-'CF YTD 2012 - 2023'!AG36</f>
        <v>664.8</v>
      </c>
      <c r="AG43" s="33">
        <f>+'CF YTD 2012 - 2023'!AG36</f>
        <v>0</v>
      </c>
      <c r="AH43" s="33">
        <v>0</v>
      </c>
      <c r="AI43" s="33">
        <v>0</v>
      </c>
      <c r="AJ43" s="33">
        <v>0</v>
      </c>
      <c r="AK43" s="33">
        <v>0</v>
      </c>
      <c r="AL43" s="33">
        <v>251</v>
      </c>
      <c r="AM43" s="33">
        <v>0</v>
      </c>
      <c r="AN43" s="33">
        <v>0</v>
      </c>
      <c r="AO43" s="33">
        <v>0</v>
      </c>
      <c r="AP43" s="33">
        <v>0</v>
      </c>
      <c r="AQ43" s="33">
        <v>0</v>
      </c>
      <c r="AR43" s="33">
        <v>0</v>
      </c>
      <c r="AS43" s="33">
        <v>0</v>
      </c>
      <c r="AT43" s="33">
        <v>0</v>
      </c>
      <c r="AU43" s="33">
        <v>0</v>
      </c>
      <c r="AV43" s="33">
        <v>0</v>
      </c>
      <c r="AW43" s="33">
        <v>0</v>
      </c>
    </row>
    <row r="44" spans="2:49" x14ac:dyDescent="0.3">
      <c r="B44" s="5" t="s">
        <v>126</v>
      </c>
      <c r="C44" s="33">
        <f>+'CF YTD 2012 - 2023'!C37-'CF YTD 2012 - 2023'!D37</f>
        <v>0</v>
      </c>
      <c r="D44" s="33">
        <f>+'CF YTD 2012 - 2023'!D37-'CF YTD 2012 - 2023'!E37</f>
        <v>-1.1000000000000014</v>
      </c>
      <c r="E44" s="33">
        <f>+'CF YTD 2012 - 2023'!E37-'CF YTD 2012 - 2023'!AX37</f>
        <v>-41.5</v>
      </c>
      <c r="F44" s="33">
        <f>+'CF YTD 2012 - 2023'!F37-'CF YTD 2012 - 2023'!G37</f>
        <v>-4.0000000000000008E-2</v>
      </c>
      <c r="G44" s="33">
        <f>+'CF YTD 2012 - 2023'!G37-'CF YTD 2012 - 2023'!H37</f>
        <v>0</v>
      </c>
      <c r="H44" s="33">
        <f>+'CF YTD 2012 - 2023'!H37-'CF YTD 2012 - 2023'!I37</f>
        <v>-0.1</v>
      </c>
      <c r="I44" s="33">
        <f>+'CF YTD 2012 - 2023'!I37-'CF YTD 2012 - 2023'!BB37</f>
        <v>0</v>
      </c>
      <c r="J44" s="33">
        <f>+'CF YTD 2012 - 2023'!J37-'CF YTD 2012 - 2023'!K37</f>
        <v>-31.799999999999997</v>
      </c>
      <c r="K44" s="33">
        <f>+'CF YTD 2012 - 2023'!K37-'CF YTD 2012 - 2023'!L37</f>
        <v>0</v>
      </c>
      <c r="L44" s="33">
        <f>+'CF YTD 2012 - 2023'!L37-'CF YTD 2012 - 2023'!M37</f>
        <v>-0.40000000000000213</v>
      </c>
      <c r="M44" s="33">
        <f>+'CF YTD 2012 - 2023'!M37-'CF YTD 2012 - 2023'!AZ37</f>
        <v>-25.2</v>
      </c>
      <c r="N44" s="33">
        <f>+'CF YTD 2012 - 2023'!N37-'CF YTD 2012 - 2023'!O37</f>
        <v>0</v>
      </c>
      <c r="O44" s="33">
        <f>+'CF YTD 2012 - 2023'!O37-'CF YTD 2012 - 2023'!P37</f>
        <v>-4.5</v>
      </c>
      <c r="P44" s="33">
        <f>+'CF YTD 2012 - 2023'!P37-'CF YTD 2012 - 2023'!Q37</f>
        <v>1.2999999999999972</v>
      </c>
      <c r="Q44" s="33">
        <f>+'CF YTD 2012 - 2023'!Q37-'CF YTD 2012 - 2023'!AZ37</f>
        <v>-100</v>
      </c>
      <c r="R44" s="33">
        <f>+'CF YTD 2012 - 2023'!R37-'CF YTD 2012 - 2023'!S37</f>
        <v>-2.1</v>
      </c>
      <c r="S44" s="33">
        <f>+'CF YTD 2012 - 2023'!S37-'CF YTD 2012 - 2023'!T37</f>
        <v>-0.1</v>
      </c>
      <c r="T44" s="33">
        <f>+'CF YTD 2012 - 2023'!T37-'CF YTD 2012 - 2023'!U37</f>
        <v>0</v>
      </c>
      <c r="U44" s="33">
        <f>+'CF YTD 2012 - 2023'!U37-'CF YTD 2012 - 2023'!AZ37</f>
        <v>0</v>
      </c>
      <c r="V44" s="33">
        <f>+'CF YTD 2012 - 2023'!V37-'CF YTD 2012 - 2023'!W37</f>
        <v>0</v>
      </c>
      <c r="W44" s="33">
        <f>+'CF YTD 2012 - 2023'!W37-'CF YTD 2012 - 2023'!X37</f>
        <v>0</v>
      </c>
      <c r="X44" s="33">
        <f>+'CF YTD 2012 - 2023'!X37-'CF YTD 2012 - 2023'!Y37</f>
        <v>0</v>
      </c>
      <c r="Y44" s="33">
        <f>+'CF YTD 2012 - 2023'!Y37-'CF YTD 2012 - 2023'!AX37</f>
        <v>0</v>
      </c>
      <c r="Z44" s="33">
        <f>+'CF YTD 2012 - 2023'!Z37-'CF YTD 2012 - 2023'!AA37</f>
        <v>1.7</v>
      </c>
      <c r="AA44" s="33">
        <f>+'CF YTD 2012 - 2023'!AA37-'CF YTD 2012 - 2023'!AB37</f>
        <v>-2.2999999999999998</v>
      </c>
      <c r="AB44" s="33">
        <f>+'CF YTD 2012 - 2023'!AB37-'CF YTD 2012 - 2023'!AC37</f>
        <v>-0.1</v>
      </c>
      <c r="AC44" s="33">
        <f>+'CF YTD 2012 - 2023'!AC37-'CF YTD 2012 - 2023'!AX37</f>
        <v>0</v>
      </c>
      <c r="AD44" s="33">
        <f>+'CF YTD 2012 - 2023'!AD37-'CF YTD 2012 - 2023'!AE37</f>
        <v>-0.10000000000000142</v>
      </c>
      <c r="AE44" s="33">
        <f>+'CF YTD 2012 - 2023'!AE37-'CF YTD 2012 - 2023'!AF37</f>
        <v>-1</v>
      </c>
      <c r="AF44" s="33">
        <f>+'CF YTD 2012 - 2023'!AF37-'CF YTD 2012 - 2023'!AG37</f>
        <v>-39</v>
      </c>
      <c r="AG44" s="33">
        <f>+'CF YTD 2012 - 2023'!AG37</f>
        <v>0</v>
      </c>
      <c r="AH44" s="33">
        <v>0</v>
      </c>
      <c r="AI44" s="33">
        <v>-0.1</v>
      </c>
      <c r="AJ44" s="33">
        <v>0</v>
      </c>
      <c r="AK44" s="33">
        <v>0</v>
      </c>
      <c r="AL44" s="33">
        <v>-0.1</v>
      </c>
      <c r="AM44" s="33">
        <v>0</v>
      </c>
      <c r="AN44" s="33">
        <v>0</v>
      </c>
      <c r="AO44" s="33">
        <v>0</v>
      </c>
      <c r="AP44" s="33">
        <v>0</v>
      </c>
      <c r="AQ44" s="33">
        <v>0</v>
      </c>
      <c r="AR44" s="33">
        <v>0</v>
      </c>
      <c r="AS44" s="33">
        <v>0</v>
      </c>
      <c r="AT44" s="33">
        <v>0</v>
      </c>
      <c r="AU44" s="33">
        <v>0</v>
      </c>
      <c r="AV44" s="33">
        <v>0</v>
      </c>
      <c r="AW44" s="33">
        <v>0</v>
      </c>
    </row>
    <row r="45" spans="2:49" x14ac:dyDescent="0.3">
      <c r="B45" s="71" t="s">
        <v>225</v>
      </c>
      <c r="C45" s="33">
        <f>+'CF YTD 2012 - 2023'!C38-'CF YTD 2012 - 2023'!D38</f>
        <v>0</v>
      </c>
      <c r="D45" s="33">
        <f>+'CF YTD 2012 - 2023'!D38-'CF YTD 2012 - 2023'!E38</f>
        <v>0</v>
      </c>
      <c r="E45" s="33">
        <f>+'CF YTD 2012 - 2023'!E38-'CF YTD 2012 - 2023'!AX38</f>
        <v>0</v>
      </c>
      <c r="F45" s="33">
        <f>+'CF YTD 2012 - 2023'!F38-'CF YTD 2012 - 2023'!G38</f>
        <v>0</v>
      </c>
      <c r="G45" s="33">
        <f>+'CF YTD 2012 - 2023'!G38-'CF YTD 2012 - 2023'!H38</f>
        <v>0</v>
      </c>
      <c r="H45" s="33">
        <f>+'CF YTD 2012 - 2023'!H38-'CF YTD 2012 - 2023'!I38</f>
        <v>0</v>
      </c>
      <c r="I45" s="33">
        <f>+'CF YTD 2012 - 2023'!I38-'CF YTD 2012 - 2023'!BB38</f>
        <v>0</v>
      </c>
      <c r="J45" s="33">
        <f>+'CF YTD 2012 - 2023'!J38-'CF YTD 2012 - 2023'!K38</f>
        <v>0</v>
      </c>
      <c r="K45" s="33">
        <f>+'CF YTD 2012 - 2023'!K38-'CF YTD 2012 - 2023'!L38</f>
        <v>0</v>
      </c>
      <c r="L45" s="33">
        <f>+'CF YTD 2012 - 2023'!L38-'CF YTD 2012 - 2023'!M38</f>
        <v>0</v>
      </c>
      <c r="M45" s="33">
        <f>+'CF YTD 2012 - 2023'!M38-'CF YTD 2012 - 2023'!AZ38</f>
        <v>0</v>
      </c>
      <c r="N45" s="33">
        <f>+'CF YTD 2012 - 2023'!N38-'CF YTD 2012 - 2023'!O38</f>
        <v>0</v>
      </c>
      <c r="O45" s="33">
        <f>+'CF YTD 2012 - 2023'!O38-'CF YTD 2012 - 2023'!P38</f>
        <v>0</v>
      </c>
      <c r="P45" s="33">
        <f>+'CF YTD 2012 - 2023'!P38-'CF YTD 2012 - 2023'!Q38</f>
        <v>-22.5</v>
      </c>
      <c r="Q45" s="33">
        <f>+'CF YTD 2012 - 2023'!Q38-'CF YTD 2012 - 2023'!AZ38</f>
        <v>22.5</v>
      </c>
      <c r="R45" s="33">
        <f>+'CF YTD 2012 - 2023'!R38-'CF YTD 2012 - 2023'!S38</f>
        <v>0</v>
      </c>
      <c r="S45" s="33">
        <f>+'CF YTD 2012 - 2023'!S38-'CF YTD 2012 - 2023'!T38</f>
        <v>0</v>
      </c>
      <c r="T45" s="33">
        <f>+'CF YTD 2012 - 2023'!T38-'CF YTD 2012 - 2023'!U38</f>
        <v>0</v>
      </c>
      <c r="U45" s="33">
        <f>+'CF YTD 2012 - 2023'!U38-'CF YTD 2012 - 2023'!AZ38</f>
        <v>0</v>
      </c>
      <c r="V45" s="33">
        <f>+'CF YTD 2012 - 2023'!V38-'CF YTD 2012 - 2023'!W38</f>
        <v>0</v>
      </c>
      <c r="W45" s="33">
        <f>+'CF YTD 2012 - 2023'!W38-'CF YTD 2012 - 2023'!X38</f>
        <v>0</v>
      </c>
      <c r="X45" s="33">
        <f>+'CF YTD 2012 - 2023'!X38-'CF YTD 2012 - 2023'!Y38</f>
        <v>0</v>
      </c>
      <c r="Y45" s="33">
        <f>+'CF YTD 2012 - 2023'!Y38-'CF YTD 2012 - 2023'!AX38</f>
        <v>0</v>
      </c>
      <c r="Z45" s="33">
        <f>+'CF YTD 2012 - 2023'!Z38-'CF YTD 2012 - 2023'!AA38</f>
        <v>0</v>
      </c>
      <c r="AA45" s="33">
        <f>+'CF YTD 2012 - 2023'!AA38-'CF YTD 2012 - 2023'!AB38</f>
        <v>0</v>
      </c>
      <c r="AB45" s="33">
        <f>+'CF YTD 2012 - 2023'!AB38-'CF YTD 2012 - 2023'!AC38</f>
        <v>0</v>
      </c>
      <c r="AC45" s="33">
        <f>+'CF YTD 2012 - 2023'!AC38-'CF YTD 2012 - 2023'!AX38</f>
        <v>0</v>
      </c>
      <c r="AD45" s="33">
        <f>+'CF YTD 2012 - 2023'!AD38-'CF YTD 2012 - 2023'!AE38</f>
        <v>0</v>
      </c>
      <c r="AE45" s="33">
        <f>+'CF YTD 2012 - 2023'!AE38-'CF YTD 2012 - 2023'!AF38</f>
        <v>0</v>
      </c>
      <c r="AF45" s="33">
        <f>+'CF YTD 2012 - 2023'!AF38-'CF YTD 2012 - 2023'!AG38</f>
        <v>0</v>
      </c>
      <c r="AG45" s="33">
        <f>+'CF YTD 2012 - 2023'!AG38</f>
        <v>0</v>
      </c>
      <c r="AH45" s="33">
        <v>0</v>
      </c>
      <c r="AI45" s="33">
        <v>0</v>
      </c>
      <c r="AJ45" s="33">
        <v>0</v>
      </c>
      <c r="AK45" s="33">
        <v>0</v>
      </c>
      <c r="AL45" s="33">
        <v>0</v>
      </c>
      <c r="AM45" s="33">
        <v>0</v>
      </c>
      <c r="AN45" s="33">
        <v>0</v>
      </c>
      <c r="AO45" s="33">
        <v>0</v>
      </c>
      <c r="AP45" s="33">
        <v>0</v>
      </c>
      <c r="AQ45" s="33">
        <v>0</v>
      </c>
      <c r="AR45" s="33">
        <v>0</v>
      </c>
      <c r="AS45" s="33">
        <v>0</v>
      </c>
      <c r="AT45" s="33">
        <v>0</v>
      </c>
      <c r="AU45" s="33">
        <v>0</v>
      </c>
      <c r="AV45" s="33">
        <v>0</v>
      </c>
      <c r="AW45" s="33">
        <v>0</v>
      </c>
    </row>
    <row r="46" spans="2:49" x14ac:dyDescent="0.3">
      <c r="B46" s="5" t="s">
        <v>226</v>
      </c>
      <c r="C46" s="33">
        <f>+'CF YTD 2012 - 2023'!C39-'CF YTD 2012 - 2023'!D39</f>
        <v>0</v>
      </c>
      <c r="D46" s="33">
        <f>+'CF YTD 2012 - 2023'!D39-'CF YTD 2012 - 2023'!E39</f>
        <v>0</v>
      </c>
      <c r="E46" s="33">
        <f>+'CF YTD 2012 - 2023'!E39-'CF YTD 2012 - 2023'!AX39</f>
        <v>0</v>
      </c>
      <c r="F46" s="33">
        <f>+'CF YTD 2012 - 2023'!F39-'CF YTD 2012 - 2023'!G39</f>
        <v>0</v>
      </c>
      <c r="G46" s="33">
        <f>+'CF YTD 2012 - 2023'!G39-'CF YTD 2012 - 2023'!H39</f>
        <v>0</v>
      </c>
      <c r="H46" s="33">
        <f>+'CF YTD 2012 - 2023'!H39-'CF YTD 2012 - 2023'!I39</f>
        <v>0</v>
      </c>
      <c r="I46" s="33">
        <f>+'CF YTD 2012 - 2023'!I39-'CF YTD 2012 - 2023'!BB39</f>
        <v>0</v>
      </c>
      <c r="J46" s="33">
        <f>+'CF YTD 2012 - 2023'!J39-'CF YTD 2012 - 2023'!K39</f>
        <v>0</v>
      </c>
      <c r="K46" s="33">
        <f>+'CF YTD 2012 - 2023'!K39-'CF YTD 2012 - 2023'!L39</f>
        <v>0</v>
      </c>
      <c r="L46" s="33">
        <f>+'CF YTD 2012 - 2023'!L39-'CF YTD 2012 - 2023'!M39</f>
        <v>0</v>
      </c>
      <c r="M46" s="33">
        <f>+'CF YTD 2012 - 2023'!M39-'CF YTD 2012 - 2023'!AZ39</f>
        <v>0</v>
      </c>
      <c r="N46" s="33">
        <f>+'CF YTD 2012 - 2023'!N39-'CF YTD 2012 - 2023'!O39</f>
        <v>0</v>
      </c>
      <c r="O46" s="33">
        <f>+'CF YTD 2012 - 2023'!O39-'CF YTD 2012 - 2023'!P39</f>
        <v>0</v>
      </c>
      <c r="P46" s="33">
        <f>+'CF YTD 2012 - 2023'!P39-'CF YTD 2012 - 2023'!Q39</f>
        <v>0</v>
      </c>
      <c r="Q46" s="33">
        <f>+'CF YTD 2012 - 2023'!Q39-'CF YTD 2012 - 2023'!AZ39</f>
        <v>2.7</v>
      </c>
      <c r="R46" s="33">
        <f>+'CF YTD 2012 - 2023'!R39-'CF YTD 2012 - 2023'!S39</f>
        <v>0</v>
      </c>
      <c r="S46" s="33">
        <f>+'CF YTD 2012 - 2023'!S39-'CF YTD 2012 - 2023'!T39</f>
        <v>0</v>
      </c>
      <c r="T46" s="33">
        <f>+'CF YTD 2012 - 2023'!T39-'CF YTD 2012 - 2023'!U39</f>
        <v>0</v>
      </c>
      <c r="U46" s="33">
        <f>+'CF YTD 2012 - 2023'!U39-'CF YTD 2012 - 2023'!AZ39</f>
        <v>0</v>
      </c>
      <c r="V46" s="33">
        <f>+'CF YTD 2012 - 2023'!V39-'CF YTD 2012 - 2023'!W39</f>
        <v>0</v>
      </c>
      <c r="W46" s="33">
        <f>+'CF YTD 2012 - 2023'!W39-'CF YTD 2012 - 2023'!X39</f>
        <v>0</v>
      </c>
      <c r="X46" s="33">
        <f>+'CF YTD 2012 - 2023'!X39-'CF YTD 2012 - 2023'!Y39</f>
        <v>0</v>
      </c>
      <c r="Y46" s="33">
        <f>+'CF YTD 2012 - 2023'!Y39-'CF YTD 2012 - 2023'!AX39</f>
        <v>0</v>
      </c>
      <c r="Z46" s="33">
        <f>+'CF YTD 2012 - 2023'!Z39-'CF YTD 2012 - 2023'!AA39</f>
        <v>0</v>
      </c>
      <c r="AA46" s="33">
        <f>+'CF YTD 2012 - 2023'!AA39-'CF YTD 2012 - 2023'!AB39</f>
        <v>0</v>
      </c>
      <c r="AB46" s="33">
        <f>+'CF YTD 2012 - 2023'!AB39-'CF YTD 2012 - 2023'!AC39</f>
        <v>0</v>
      </c>
      <c r="AC46" s="33">
        <f>+'CF YTD 2012 - 2023'!AC39-'CF YTD 2012 - 2023'!AX39</f>
        <v>0</v>
      </c>
      <c r="AD46" s="33">
        <f>+'CF YTD 2012 - 2023'!AD39-'CF YTD 2012 - 2023'!AE39</f>
        <v>0</v>
      </c>
      <c r="AE46" s="33">
        <f>+'CF YTD 2012 - 2023'!AE39-'CF YTD 2012 - 2023'!AF39</f>
        <v>0</v>
      </c>
      <c r="AF46" s="33">
        <f>+'CF YTD 2012 - 2023'!AF39-'CF YTD 2012 - 2023'!AG39</f>
        <v>0</v>
      </c>
      <c r="AG46" s="33">
        <f>+'CF YTD 2012 - 2023'!AG39</f>
        <v>0</v>
      </c>
      <c r="AH46" s="33">
        <v>0</v>
      </c>
      <c r="AI46" s="33">
        <v>0</v>
      </c>
      <c r="AJ46" s="33">
        <v>0</v>
      </c>
      <c r="AK46" s="33">
        <v>0</v>
      </c>
      <c r="AL46" s="33">
        <v>0</v>
      </c>
      <c r="AM46" s="33">
        <v>0</v>
      </c>
      <c r="AN46" s="33">
        <v>0</v>
      </c>
      <c r="AO46" s="33">
        <v>0</v>
      </c>
      <c r="AP46" s="33">
        <v>0</v>
      </c>
      <c r="AQ46" s="33">
        <v>0</v>
      </c>
      <c r="AR46" s="33">
        <v>0</v>
      </c>
      <c r="AS46" s="33">
        <v>0</v>
      </c>
      <c r="AT46" s="33">
        <v>0</v>
      </c>
      <c r="AU46" s="33">
        <v>0</v>
      </c>
      <c r="AV46" s="33">
        <v>0</v>
      </c>
      <c r="AW46" s="33">
        <v>0</v>
      </c>
    </row>
    <row r="47" spans="2:49" x14ac:dyDescent="0.3">
      <c r="B47" s="5" t="s">
        <v>155</v>
      </c>
      <c r="C47" s="33">
        <f>+'CF YTD 2012 - 2023'!C40-'CF YTD 2012 - 2023'!D40</f>
        <v>0</v>
      </c>
      <c r="D47" s="33">
        <f>+'CF YTD 2012 - 2023'!D40-'CF YTD 2012 - 2023'!E40</f>
        <v>-9</v>
      </c>
      <c r="E47" s="33">
        <f>+'CF YTD 2012 - 2023'!E40-'CF YTD 2012 - 2023'!AX40</f>
        <v>0</v>
      </c>
      <c r="F47" s="33">
        <f>+'CF YTD 2012 - 2023'!F40-'CF YTD 2012 - 2023'!G40</f>
        <v>0</v>
      </c>
      <c r="G47" s="33">
        <f>+'CF YTD 2012 - 2023'!G40-'CF YTD 2012 - 2023'!H40</f>
        <v>0</v>
      </c>
      <c r="H47" s="33">
        <f>+'CF YTD 2012 - 2023'!H40-'CF YTD 2012 - 2023'!I40</f>
        <v>-9.3000000000000007</v>
      </c>
      <c r="I47" s="33">
        <f>+'CF YTD 2012 - 2023'!I40-'CF YTD 2012 - 2023'!BB40</f>
        <v>0</v>
      </c>
      <c r="J47" s="33">
        <f>+'CF YTD 2012 - 2023'!J40-'CF YTD 2012 - 2023'!K40</f>
        <v>0</v>
      </c>
      <c r="K47" s="33">
        <f>+'CF YTD 2012 - 2023'!K40-'CF YTD 2012 - 2023'!L40</f>
        <v>0</v>
      </c>
      <c r="L47" s="33">
        <f>+'CF YTD 2012 - 2023'!L40-'CF YTD 2012 - 2023'!M40</f>
        <v>-8.6</v>
      </c>
      <c r="M47" s="33">
        <f>+'CF YTD 2012 - 2023'!M40-'CF YTD 2012 - 2023'!AZ40</f>
        <v>0</v>
      </c>
      <c r="N47" s="33">
        <f>+'CF YTD 2012 - 2023'!N40-'CF YTD 2012 - 2023'!O40</f>
        <v>0</v>
      </c>
      <c r="O47" s="33">
        <f>+'CF YTD 2012 - 2023'!O40-'CF YTD 2012 - 2023'!P40</f>
        <v>-11.1</v>
      </c>
      <c r="P47" s="33">
        <f>+'CF YTD 2012 - 2023'!P40-'CF YTD 2012 - 2023'!Q40</f>
        <v>0</v>
      </c>
      <c r="Q47" s="33">
        <f>+'CF YTD 2012 - 2023'!Q40-'CF YTD 2012 - 2023'!AZ40</f>
        <v>0</v>
      </c>
      <c r="R47" s="33">
        <f>+'CF YTD 2012 - 2023'!R40-'CF YTD 2012 - 2023'!S40</f>
        <v>0</v>
      </c>
      <c r="S47" s="33">
        <f>+'CF YTD 2012 - 2023'!S40-'CF YTD 2012 - 2023'!T40</f>
        <v>0</v>
      </c>
      <c r="T47" s="33">
        <f>+'CF YTD 2012 - 2023'!T40-'CF YTD 2012 - 2023'!U40</f>
        <v>-4.5999999999999996</v>
      </c>
      <c r="U47" s="33">
        <f>+'CF YTD 2012 - 2023'!U40-'CF YTD 2012 - 2023'!AZ40</f>
        <v>0</v>
      </c>
      <c r="V47" s="33">
        <f>+'CF YTD 2012 - 2023'!V40-'CF YTD 2012 - 2023'!W40</f>
        <v>-4.0999999999999996</v>
      </c>
      <c r="W47" s="33">
        <f>+'CF YTD 2012 - 2023'!W40-'CF YTD 2012 - 2023'!X40</f>
        <v>0</v>
      </c>
      <c r="X47" s="33">
        <f>+'CF YTD 2012 - 2023'!X40-'CF YTD 2012 - 2023'!Y40</f>
        <v>0</v>
      </c>
      <c r="Y47" s="33">
        <f>+'CF YTD 2012 - 2023'!Y40-'CF YTD 2012 - 2023'!AX40</f>
        <v>0</v>
      </c>
      <c r="Z47" s="33">
        <f>+'CF YTD 2012 - 2023'!Z40-'CF YTD 2012 - 2023'!AA40</f>
        <v>0</v>
      </c>
      <c r="AA47" s="33">
        <f>+'CF YTD 2012 - 2023'!AA40-'CF YTD 2012 - 2023'!AB40</f>
        <v>0</v>
      </c>
      <c r="AB47" s="33">
        <f>+'CF YTD 2012 - 2023'!AB40-'CF YTD 2012 - 2023'!AC40</f>
        <v>-4.3</v>
      </c>
      <c r="AC47" s="33">
        <f>+'CF YTD 2012 - 2023'!AC40-'CF YTD 2012 - 2023'!AX40</f>
        <v>0</v>
      </c>
      <c r="AD47" s="33">
        <f>+'CF YTD 2012 - 2023'!AD40-'CF YTD 2012 - 2023'!AE40</f>
        <v>0</v>
      </c>
      <c r="AE47" s="33">
        <f>+'CF YTD 2012 - 2023'!AE40-'CF YTD 2012 - 2023'!AF40</f>
        <v>0</v>
      </c>
      <c r="AF47" s="33">
        <f>+'CF YTD 2012 - 2023'!AF40-'CF YTD 2012 - 2023'!AG40</f>
        <v>-2.8</v>
      </c>
      <c r="AG47" s="33">
        <v>0</v>
      </c>
      <c r="AH47" s="33">
        <v>0</v>
      </c>
      <c r="AI47" s="33">
        <v>0</v>
      </c>
      <c r="AJ47" s="33">
        <v>0</v>
      </c>
      <c r="AK47" s="33">
        <v>0</v>
      </c>
      <c r="AL47" s="33">
        <v>0</v>
      </c>
      <c r="AM47" s="33">
        <v>0</v>
      </c>
      <c r="AN47" s="33">
        <v>0</v>
      </c>
      <c r="AO47" s="33">
        <v>0</v>
      </c>
      <c r="AP47" s="33">
        <v>0</v>
      </c>
      <c r="AQ47" s="33">
        <v>0</v>
      </c>
      <c r="AR47" s="33">
        <v>0</v>
      </c>
      <c r="AS47" s="33">
        <v>0</v>
      </c>
      <c r="AT47" s="33">
        <v>0</v>
      </c>
      <c r="AU47" s="33">
        <v>0</v>
      </c>
      <c r="AV47" s="33">
        <v>0</v>
      </c>
      <c r="AW47" s="33">
        <v>0</v>
      </c>
    </row>
    <row r="48" spans="2:49" ht="6" customHeight="1" x14ac:dyDescent="0.3"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</row>
    <row r="49" spans="2:49" x14ac:dyDescent="0.3">
      <c r="B49" s="8" t="s">
        <v>74</v>
      </c>
      <c r="C49" s="40">
        <f t="shared" ref="C49" si="39">SUM(C38:C48)</f>
        <v>-11.600000000000001</v>
      </c>
      <c r="D49" s="40">
        <f t="shared" ref="D49:E49" si="40">SUM(D38:D48)</f>
        <v>150</v>
      </c>
      <c r="E49" s="40">
        <f t="shared" si="40"/>
        <v>584.20000000000005</v>
      </c>
      <c r="F49" s="40">
        <f t="shared" ref="F49:G49" si="41">SUM(F38:F48)</f>
        <v>230.76000000000002</v>
      </c>
      <c r="G49" s="40">
        <f t="shared" si="41"/>
        <v>104.4</v>
      </c>
      <c r="H49" s="40">
        <f t="shared" ref="H49:I49" si="42">SUM(H38:H48)</f>
        <v>225.20000000000002</v>
      </c>
      <c r="I49" s="40">
        <f t="shared" si="42"/>
        <v>75.399999999999991</v>
      </c>
      <c r="J49" s="40">
        <f t="shared" ref="J49:K49" si="43">SUM(J38:J48)</f>
        <v>1880.7</v>
      </c>
      <c r="K49" s="40">
        <f t="shared" si="43"/>
        <v>200.29999999999998</v>
      </c>
      <c r="L49" s="40">
        <f t="shared" ref="L49:M49" si="44">SUM(L38:L48)</f>
        <v>308.89999999999998</v>
      </c>
      <c r="M49" s="40">
        <f t="shared" si="44"/>
        <v>1146.0999999999999</v>
      </c>
      <c r="N49" s="40">
        <f t="shared" ref="N49:O49" si="45">SUM(N38:N48)</f>
        <v>3.7000000000000899</v>
      </c>
      <c r="O49" s="40">
        <f t="shared" si="45"/>
        <v>-20.799999999999997</v>
      </c>
      <c r="P49" s="40">
        <f t="shared" ref="P49:Q49" si="46">SUM(P38:P48)</f>
        <v>-11.099999999999913</v>
      </c>
      <c r="Q49" s="40">
        <f t="shared" si="46"/>
        <v>1363.1000000000001</v>
      </c>
      <c r="R49" s="40">
        <f t="shared" ref="R49:S49" si="47">SUM(R38:R48)</f>
        <v>1367.0000000000002</v>
      </c>
      <c r="S49" s="40">
        <f t="shared" si="47"/>
        <v>5.3000000000000007</v>
      </c>
      <c r="T49" s="40">
        <f t="shared" ref="T49:U49" si="48">SUM(T38:T48)</f>
        <v>-6.9999999999999991</v>
      </c>
      <c r="U49" s="40">
        <f t="shared" si="48"/>
        <v>-250.70000000000002</v>
      </c>
      <c r="V49" s="40">
        <f t="shared" ref="V49:W49" si="49">SUM(V38:V48)</f>
        <v>-7.100000000000005</v>
      </c>
      <c r="W49" s="40">
        <f t="shared" si="49"/>
        <v>-39.700000000000017</v>
      </c>
      <c r="X49" s="40">
        <f t="shared" ref="X49:Y49" si="50">SUM(X38:X48)</f>
        <v>182.3</v>
      </c>
      <c r="Y49" s="40">
        <f t="shared" si="50"/>
        <v>110.30000000000001</v>
      </c>
      <c r="Z49" s="40">
        <f t="shared" ref="Z49:AA49" si="51">SUM(Z38:Z48)</f>
        <v>404.4</v>
      </c>
      <c r="AA49" s="40">
        <f t="shared" si="51"/>
        <v>204.7</v>
      </c>
      <c r="AB49" s="40">
        <f t="shared" ref="AB49:AG49" si="52">SUM(AB38:AB48)</f>
        <v>-1.7999999999999989</v>
      </c>
      <c r="AC49" s="40">
        <f t="shared" si="52"/>
        <v>6.1</v>
      </c>
      <c r="AD49" s="40">
        <f t="shared" si="52"/>
        <v>28.299999999999994</v>
      </c>
      <c r="AE49" s="40">
        <f t="shared" si="52"/>
        <v>-0.99999999999999822</v>
      </c>
      <c r="AF49" s="40">
        <f t="shared" si="52"/>
        <v>627.9</v>
      </c>
      <c r="AG49" s="40">
        <f t="shared" si="52"/>
        <v>2</v>
      </c>
      <c r="AH49" s="40">
        <v>10.3</v>
      </c>
      <c r="AI49" s="40">
        <v>1.2000000000000006</v>
      </c>
      <c r="AJ49" s="40">
        <v>3.9000000000000008</v>
      </c>
      <c r="AK49" s="40">
        <v>11.2</v>
      </c>
      <c r="AL49" s="40">
        <v>220.5</v>
      </c>
      <c r="AM49" s="40">
        <v>-2.2000000000000002</v>
      </c>
      <c r="AN49" s="40">
        <v>0</v>
      </c>
      <c r="AO49" s="40">
        <v>-2.1</v>
      </c>
      <c r="AP49" s="40">
        <v>-2.1050000000000004</v>
      </c>
      <c r="AQ49" s="40">
        <v>-0.5</v>
      </c>
      <c r="AR49" s="40">
        <v>-2.2999999999999998</v>
      </c>
      <c r="AS49" s="40">
        <v>-2.2000000000000002</v>
      </c>
      <c r="AT49" s="40">
        <v>-2.2999999999999998</v>
      </c>
      <c r="AU49" s="40">
        <v>-2.5</v>
      </c>
      <c r="AV49" s="40">
        <v>-2.4000000000000004</v>
      </c>
      <c r="AW49" s="40">
        <v>-2.4000000000000004</v>
      </c>
    </row>
    <row r="50" spans="2:49" ht="9" customHeight="1" x14ac:dyDescent="0.3"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43"/>
      <c r="AM50" s="43"/>
      <c r="AN50" s="43"/>
      <c r="AO50" s="33"/>
      <c r="AP50" s="43"/>
      <c r="AQ50" s="43"/>
      <c r="AR50" s="43"/>
      <c r="AS50" s="33"/>
      <c r="AT50" s="43"/>
      <c r="AU50" s="43"/>
      <c r="AV50" s="43"/>
      <c r="AW50" s="33"/>
    </row>
    <row r="51" spans="2:49" x14ac:dyDescent="0.3">
      <c r="B51" s="8" t="s">
        <v>75</v>
      </c>
      <c r="C51" s="40">
        <f t="shared" ref="C51" si="53">+C26+C36+C49</f>
        <v>194.10000000000016</v>
      </c>
      <c r="D51" s="40">
        <f t="shared" ref="D51:E51" si="54">+D26+D36+D49</f>
        <v>-439.90000000000009</v>
      </c>
      <c r="E51" s="40">
        <f t="shared" si="54"/>
        <v>700.39999999999986</v>
      </c>
      <c r="F51" s="40">
        <f t="shared" ref="F51:G51" si="55">+F26+F36+F49</f>
        <v>-138.33999999999989</v>
      </c>
      <c r="G51" s="40">
        <f t="shared" si="55"/>
        <v>423.49999999999989</v>
      </c>
      <c r="H51" s="40">
        <f t="shared" ref="H51:I51" si="56">+H26+H36+H49</f>
        <v>-114.99999999999991</v>
      </c>
      <c r="I51" s="40">
        <f t="shared" si="56"/>
        <v>-191.70000000000005</v>
      </c>
      <c r="J51" s="40">
        <f t="shared" ref="J51:K51" si="57">+J26+J36+J49</f>
        <v>248.30000000000064</v>
      </c>
      <c r="K51" s="40">
        <f t="shared" si="57"/>
        <v>154.10000000000011</v>
      </c>
      <c r="L51" s="40">
        <f t="shared" ref="L51:M51" si="58">+L26+L36+L49</f>
        <v>-59.000000000000171</v>
      </c>
      <c r="M51" s="40">
        <f t="shared" si="58"/>
        <v>-42.799999999999955</v>
      </c>
      <c r="N51" s="40">
        <f t="shared" ref="N51:O51" si="59">+N26+N36+N49</f>
        <v>-272.19999999999987</v>
      </c>
      <c r="O51" s="40">
        <f t="shared" si="59"/>
        <v>188.2000000000001</v>
      </c>
      <c r="P51" s="40">
        <f t="shared" ref="P51:Q51" si="60">+P26+P36+P49</f>
        <v>-1085.6999999999998</v>
      </c>
      <c r="Q51" s="40">
        <f t="shared" si="60"/>
        <v>1165</v>
      </c>
      <c r="R51" s="40">
        <f t="shared" ref="R51:S51" si="61">+R26+R36+R49</f>
        <v>196.30000000000018</v>
      </c>
      <c r="S51" s="40">
        <f t="shared" si="61"/>
        <v>-14.400000000000052</v>
      </c>
      <c r="T51" s="40">
        <f t="shared" ref="T51:U51" si="62">+T26+T36+T49</f>
        <v>-24.799999999999926</v>
      </c>
      <c r="U51" s="40">
        <f t="shared" si="62"/>
        <v>-128.30000000000007</v>
      </c>
      <c r="V51" s="40">
        <f t="shared" ref="V51:W51" si="63">+V26+V36+V49</f>
        <v>-81.499999999999929</v>
      </c>
      <c r="W51" s="40">
        <f t="shared" si="63"/>
        <v>164.59999999999994</v>
      </c>
      <c r="X51" s="40">
        <f t="shared" ref="X51:Y51" si="64">+X26+X36+X49</f>
        <v>17.300000000000097</v>
      </c>
      <c r="Y51" s="40">
        <f t="shared" si="64"/>
        <v>-125.99999999999997</v>
      </c>
      <c r="Z51" s="40">
        <f t="shared" ref="Z51:AA51" si="65">+Z26+Z36+Z49</f>
        <v>-170.4000000000002</v>
      </c>
      <c r="AA51" s="40">
        <f t="shared" si="65"/>
        <v>115.09999999999972</v>
      </c>
      <c r="AB51" s="40">
        <f t="shared" ref="AB51:AC51" si="66">+AB26+AB36+AB49</f>
        <v>-618.29999999999984</v>
      </c>
      <c r="AC51" s="40">
        <f t="shared" si="66"/>
        <v>157.89999999999998</v>
      </c>
      <c r="AD51" s="40">
        <f t="shared" ref="AD51:AE51" si="67">+AD26+AD36+AD49</f>
        <v>639.30000000000007</v>
      </c>
      <c r="AE51" s="40">
        <f t="shared" si="67"/>
        <v>-249.49999999999997</v>
      </c>
      <c r="AF51" s="40">
        <f>+AF26+AF36+AF49</f>
        <v>271.79999999999995</v>
      </c>
      <c r="AG51" s="40">
        <f>+AG26+AG36+AG49</f>
        <v>-184.99999999999997</v>
      </c>
      <c r="AH51" s="40">
        <v>-94.000000000000071</v>
      </c>
      <c r="AI51" s="40">
        <v>-42.600000000000072</v>
      </c>
      <c r="AJ51" s="40">
        <v>-505.79999999999995</v>
      </c>
      <c r="AK51" s="40">
        <v>596.20000000000005</v>
      </c>
      <c r="AL51" s="40">
        <v>252.29999999999995</v>
      </c>
      <c r="AM51" s="40">
        <v>31.199999999999978</v>
      </c>
      <c r="AN51" s="40">
        <v>-112.6</v>
      </c>
      <c r="AO51" s="40">
        <v>-119.6</v>
      </c>
      <c r="AP51" s="40">
        <v>198.072</v>
      </c>
      <c r="AQ51" s="40">
        <v>-145.09999999999997</v>
      </c>
      <c r="AR51" s="40">
        <v>154.69999999999996</v>
      </c>
      <c r="AS51" s="40">
        <v>-214.2</v>
      </c>
      <c r="AT51" s="40">
        <v>87.200000000000145</v>
      </c>
      <c r="AU51" s="40">
        <v>34.499999999999964</v>
      </c>
      <c r="AV51" s="40">
        <v>-21.700000000000038</v>
      </c>
      <c r="AW51" s="40">
        <v>-18.499999999999993</v>
      </c>
    </row>
    <row r="52" spans="2:49" ht="9" customHeight="1" x14ac:dyDescent="0.3"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</row>
    <row r="53" spans="2:49" x14ac:dyDescent="0.3">
      <c r="B53" s="5" t="s">
        <v>113</v>
      </c>
      <c r="C53" s="33">
        <f t="shared" ref="C53:Z53" si="68">+D56</f>
        <v>831.91400000000078</v>
      </c>
      <c r="D53" s="33">
        <f t="shared" si="68"/>
        <v>1271.7140000000009</v>
      </c>
      <c r="E53" s="33">
        <f t="shared" si="68"/>
        <v>575.41400000000101</v>
      </c>
      <c r="F53" s="33">
        <f t="shared" si="68"/>
        <v>718.55400000000088</v>
      </c>
      <c r="G53" s="33">
        <f t="shared" si="68"/>
        <v>290.75400000000104</v>
      </c>
      <c r="H53" s="33">
        <f t="shared" si="68"/>
        <v>401.35400000000101</v>
      </c>
      <c r="I53" s="33">
        <f t="shared" si="68"/>
        <v>591.75400000000104</v>
      </c>
      <c r="J53" s="33">
        <f t="shared" si="68"/>
        <v>341.75400000000042</v>
      </c>
      <c r="K53" s="33">
        <f t="shared" si="68"/>
        <v>185.85400000000027</v>
      </c>
      <c r="L53" s="33">
        <f t="shared" si="68"/>
        <v>245.75400000000045</v>
      </c>
      <c r="M53" s="33">
        <f t="shared" si="68"/>
        <v>285.45400000000041</v>
      </c>
      <c r="N53" s="33">
        <f t="shared" si="68"/>
        <v>561.35400000000027</v>
      </c>
      <c r="O53" s="33">
        <f t="shared" si="68"/>
        <v>376.85400000000027</v>
      </c>
      <c r="P53" s="33">
        <f t="shared" si="68"/>
        <v>1464.5540000000001</v>
      </c>
      <c r="Q53" s="33">
        <f t="shared" si="68"/>
        <v>297.45400000000012</v>
      </c>
      <c r="R53" s="33">
        <f t="shared" si="68"/>
        <v>104.5539999999999</v>
      </c>
      <c r="S53" s="33">
        <f t="shared" si="68"/>
        <v>114.15399999999995</v>
      </c>
      <c r="T53" s="33">
        <f t="shared" si="68"/>
        <v>140.25399999999988</v>
      </c>
      <c r="U53" s="33">
        <f t="shared" si="68"/>
        <v>266.65399999999994</v>
      </c>
      <c r="V53" s="33">
        <f t="shared" si="68"/>
        <v>345.65399999999988</v>
      </c>
      <c r="W53" s="33">
        <f t="shared" si="68"/>
        <v>179.55399999999992</v>
      </c>
      <c r="X53" s="33">
        <f t="shared" si="68"/>
        <v>150.25399999999982</v>
      </c>
      <c r="Y53" s="33">
        <f t="shared" si="68"/>
        <v>282.45399999999978</v>
      </c>
      <c r="Z53" s="33">
        <f t="shared" si="68"/>
        <v>459.154</v>
      </c>
      <c r="AA53" s="33">
        <f t="shared" ref="AA53:AF53" si="69">+AB56</f>
        <v>358.05400000000026</v>
      </c>
      <c r="AB53" s="33">
        <f t="shared" si="69"/>
        <v>1005.1540000000001</v>
      </c>
      <c r="AC53" s="33">
        <f t="shared" si="69"/>
        <v>853.55400000000009</v>
      </c>
      <c r="AD53" s="33">
        <f t="shared" si="69"/>
        <v>209.25400000000002</v>
      </c>
      <c r="AE53" s="33">
        <f t="shared" si="69"/>
        <v>459.154</v>
      </c>
      <c r="AF53" s="33">
        <f t="shared" si="69"/>
        <v>184.95400000000006</v>
      </c>
      <c r="AG53" s="33">
        <f t="shared" ref="AG53" si="70">+AH56</f>
        <v>374.05400000000003</v>
      </c>
      <c r="AH53" s="33">
        <v>462.25400000000008</v>
      </c>
      <c r="AI53" s="33">
        <v>505.15400000000017</v>
      </c>
      <c r="AJ53" s="33">
        <v>1019.2540000000001</v>
      </c>
      <c r="AK53" s="33">
        <v>398.35400000000004</v>
      </c>
      <c r="AL53" s="33">
        <v>145.95400000000006</v>
      </c>
      <c r="AM53" s="33">
        <v>114.55400000000009</v>
      </c>
      <c r="AN53" s="33">
        <v>227.15400000000008</v>
      </c>
      <c r="AO53" s="33">
        <v>346.75400000000008</v>
      </c>
      <c r="AP53" s="33">
        <v>148.8000000000001</v>
      </c>
      <c r="AQ53" s="33">
        <v>294.00000000000006</v>
      </c>
      <c r="AR53" s="33">
        <v>139.50000000000006</v>
      </c>
      <c r="AS53" s="33">
        <v>353.50000000000006</v>
      </c>
      <c r="AT53" s="33">
        <v>266.39999999999992</v>
      </c>
      <c r="AU53" s="33">
        <v>231.99999999999997</v>
      </c>
      <c r="AV53" s="33">
        <v>253.60000000000002</v>
      </c>
      <c r="AW53" s="33">
        <v>272.10000000000002</v>
      </c>
    </row>
    <row r="54" spans="2:49" x14ac:dyDescent="0.3">
      <c r="B54" s="15" t="s">
        <v>114</v>
      </c>
      <c r="C54" s="39">
        <f>+'CF YTD 2012 - 2023'!C44-'CF YTD 2012 - 2023'!D44</f>
        <v>6.2</v>
      </c>
      <c r="D54" s="39">
        <f>+'CF YTD 2012 - 2023'!D44-'CF YTD 2012 - 2023'!E44</f>
        <v>9.9999999999999645E-2</v>
      </c>
      <c r="E54" s="39">
        <f>+'CF YTD 2012 - 2023'!E44-'CF YTD 2012 - 2023'!AX44</f>
        <v>-4.0999999999999996</v>
      </c>
      <c r="F54" s="39">
        <f>+'CF YTD 2012 - 2023'!F44-'CF YTD 2012 - 2023'!G44+0.1</f>
        <v>-4.8000000000000007</v>
      </c>
      <c r="G54" s="39">
        <f>+'CF YTD 2012 - 2023'!G44-'CF YTD 2012 - 2023'!H44</f>
        <v>4.3000000000000007</v>
      </c>
      <c r="H54" s="39">
        <f>+'CF YTD 2012 - 2023'!H44-'CF YTD 2012 - 2023'!I44</f>
        <v>4.3999999999999995</v>
      </c>
      <c r="I54" s="39">
        <f>+'CF YTD 2012 - 2023'!I44-'CF YTD 2012 - 2023'!BB44</f>
        <v>1.3</v>
      </c>
      <c r="J54" s="39">
        <f>+'CF YTD 2012 - 2023'!J44-'CF YTD 2012 - 2023'!K44</f>
        <v>1.7000000000000006</v>
      </c>
      <c r="K54" s="39">
        <f>+'CF YTD 2012 - 2023'!K44-'CF YTD 2012 - 2023'!L44</f>
        <v>1.7999999999999994</v>
      </c>
      <c r="L54" s="39">
        <f>+'CF YTD 2012 - 2023'!L44-'CF YTD 2012 - 2023'!M44</f>
        <v>-0.89999999999999991</v>
      </c>
      <c r="M54" s="39">
        <f>+'CF YTD 2012 - 2023'!M44-'CF YTD 2012 - 2023'!AZ44</f>
        <v>3.1</v>
      </c>
      <c r="N54" s="39">
        <f>+'CF YTD 2012 - 2023'!N44-'CF YTD 2012 - 2023'!O44</f>
        <v>-3.6999999999999997</v>
      </c>
      <c r="O54" s="39">
        <f>+'CF YTD 2012 - 2023'!O44-'CF YTD 2012 - 2023'!P44</f>
        <v>-3.7</v>
      </c>
      <c r="P54" s="39">
        <f>+'CF YTD 2012 - 2023'!P44-'CF YTD 2012 - 2023'!Q44</f>
        <v>-2</v>
      </c>
      <c r="Q54" s="39">
        <f>+'CF YTD 2012 - 2023'!Q44-'CF YTD 2012 - 2023'!AZ44</f>
        <v>2.1</v>
      </c>
      <c r="R54" s="39">
        <f>+'CF YTD 2012 - 2023'!R44-'CF YTD 2012 - 2023'!S44</f>
        <v>-3.4000000000000004</v>
      </c>
      <c r="S54" s="39">
        <f>+'CF YTD 2012 - 2023'!S44-'CF YTD 2012 - 2023'!T44</f>
        <v>4.8000000000000007</v>
      </c>
      <c r="T54" s="39">
        <f>+'CF YTD 2012 - 2023'!T44-'CF YTD 2012 - 2023'!U44</f>
        <v>-1.2999999999999998</v>
      </c>
      <c r="U54" s="39">
        <f>+'CF YTD 2012 - 2023'!U44-'CF YTD 2012 - 2023'!AZ44</f>
        <v>1.9</v>
      </c>
      <c r="V54" s="39">
        <f>+'CF YTD 2012 - 2023'!V44-'CF YTD 2012 - 2023'!W44</f>
        <v>2.4999999999999991</v>
      </c>
      <c r="W54" s="39">
        <f>+'CF YTD 2012 - 2023'!W44-'CF YTD 2012 - 2023'!X44</f>
        <v>1.5</v>
      </c>
      <c r="X54" s="39">
        <f>+'CF YTD 2012 - 2023'!X44-'CF YTD 2012 - 2023'!Y44</f>
        <v>12</v>
      </c>
      <c r="Y54" s="39">
        <f>+'CF YTD 2012 - 2023'!Y44-'CF YTD 2012 - 2023'!AX44</f>
        <v>-6.1999999999999993</v>
      </c>
      <c r="Z54" s="39">
        <f>+'CF YTD 2012 - 2023'!Z44-'CF YTD 2012 - 2023'!AA44</f>
        <v>-6.2999999999999972</v>
      </c>
      <c r="AA54" s="39">
        <f>+'CF YTD 2012 - 2023'!AA44-'CF YTD 2012 - 2023'!AB44</f>
        <v>-14</v>
      </c>
      <c r="AB54" s="39">
        <f>+'CF YTD 2012 - 2023'!AB44-'CF YTD 2012 - 2023'!AC44</f>
        <v>-28.8</v>
      </c>
      <c r="AC54" s="39">
        <f>+'CF YTD 2012 - 2023'!AC44-'CF YTD 2012 - 2023'!AX44</f>
        <v>-6.3</v>
      </c>
      <c r="AD54" s="39">
        <f>+'CF YTD 2012 - 2023'!AD44-'CF YTD 2012 - 2023'!AE44</f>
        <v>5</v>
      </c>
      <c r="AE54" s="39">
        <f>+'CF YTD 2012 - 2023'!AE44-'CF YTD 2012 - 2023'!AF44</f>
        <v>-0.40000000000000013</v>
      </c>
      <c r="AF54" s="39">
        <f>+'CF YTD 2012 - 2023'!AF44-'CF YTD 2012 - 2023'!AG44</f>
        <v>2.3999999999999995</v>
      </c>
      <c r="AG54" s="39">
        <f>+'CF YTD 2012 - 2023'!AG44</f>
        <v>-4.0999999999999996</v>
      </c>
      <c r="AH54" s="39">
        <v>5.8000000000000007</v>
      </c>
      <c r="AI54" s="39">
        <v>-0.30000000000000071</v>
      </c>
      <c r="AJ54" s="39">
        <v>-8.3000000000000007</v>
      </c>
      <c r="AK54" s="39">
        <v>24.7</v>
      </c>
      <c r="AL54" s="39">
        <v>9.9999999999999978E-2</v>
      </c>
      <c r="AM54" s="39">
        <v>0.2</v>
      </c>
      <c r="AN54" s="39">
        <v>0</v>
      </c>
      <c r="AO54" s="39">
        <v>0</v>
      </c>
      <c r="AP54" s="39">
        <v>-0.11799999999999999</v>
      </c>
      <c r="AQ54" s="39">
        <v>-0.1</v>
      </c>
      <c r="AR54" s="39">
        <v>-0.2</v>
      </c>
      <c r="AS54" s="39">
        <v>0.2</v>
      </c>
      <c r="AT54" s="39">
        <v>-0.1</v>
      </c>
      <c r="AU54" s="39">
        <v>-0.1</v>
      </c>
      <c r="AV54" s="39">
        <v>0.1</v>
      </c>
      <c r="AW54" s="39">
        <v>0</v>
      </c>
    </row>
    <row r="55" spans="2:49" ht="6" customHeight="1" x14ac:dyDescent="0.3"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</row>
    <row r="56" spans="2:49" x14ac:dyDescent="0.3">
      <c r="B56" s="8" t="s">
        <v>78</v>
      </c>
      <c r="C56" s="40">
        <f t="shared" ref="C56:D56" si="71">SUM(C51:C54)</f>
        <v>1032.2140000000011</v>
      </c>
      <c r="D56" s="40">
        <f t="shared" si="71"/>
        <v>831.91400000000078</v>
      </c>
      <c r="E56" s="40">
        <f t="shared" ref="E56:F56" si="72">SUM(E51:E54)</f>
        <v>1271.7140000000009</v>
      </c>
      <c r="F56" s="40">
        <f t="shared" si="72"/>
        <v>575.41400000000101</v>
      </c>
      <c r="G56" s="40">
        <f t="shared" ref="G56:H56" si="73">SUM(G51:G54)</f>
        <v>718.55400000000088</v>
      </c>
      <c r="H56" s="40">
        <f t="shared" si="73"/>
        <v>290.75400000000104</v>
      </c>
      <c r="I56" s="40">
        <f t="shared" ref="I56:J56" si="74">SUM(I51:I54)</f>
        <v>401.35400000000101</v>
      </c>
      <c r="J56" s="40">
        <f t="shared" si="74"/>
        <v>591.75400000000104</v>
      </c>
      <c r="K56" s="40">
        <f t="shared" ref="K56:L56" si="75">SUM(K51:K54)</f>
        <v>341.75400000000042</v>
      </c>
      <c r="L56" s="40">
        <f t="shared" si="75"/>
        <v>185.85400000000027</v>
      </c>
      <c r="M56" s="40">
        <f t="shared" ref="M56:N56" si="76">SUM(M51:M54)</f>
        <v>245.75400000000045</v>
      </c>
      <c r="N56" s="40">
        <f t="shared" si="76"/>
        <v>285.45400000000041</v>
      </c>
      <c r="O56" s="40">
        <f t="shared" ref="O56:P56" si="77">SUM(O51:O54)</f>
        <v>561.35400000000027</v>
      </c>
      <c r="P56" s="40">
        <f t="shared" si="77"/>
        <v>376.85400000000027</v>
      </c>
      <c r="Q56" s="40">
        <f t="shared" ref="Q56:R56" si="78">SUM(Q51:Q54)</f>
        <v>1464.5540000000001</v>
      </c>
      <c r="R56" s="40">
        <f t="shared" si="78"/>
        <v>297.45400000000012</v>
      </c>
      <c r="S56" s="40">
        <f t="shared" ref="S56:T56" si="79">SUM(S51:S54)</f>
        <v>104.5539999999999</v>
      </c>
      <c r="T56" s="40">
        <f t="shared" si="79"/>
        <v>114.15399999999995</v>
      </c>
      <c r="U56" s="40">
        <f t="shared" ref="U56:V56" si="80">SUM(U51:U54)</f>
        <v>140.25399999999988</v>
      </c>
      <c r="V56" s="40">
        <f t="shared" si="80"/>
        <v>266.65399999999994</v>
      </c>
      <c r="W56" s="40">
        <f t="shared" ref="W56:X56" si="81">SUM(W51:W54)</f>
        <v>345.65399999999988</v>
      </c>
      <c r="X56" s="40">
        <f t="shared" si="81"/>
        <v>179.55399999999992</v>
      </c>
      <c r="Y56" s="40">
        <f t="shared" ref="Y56:Z56" si="82">SUM(Y51:Y54)</f>
        <v>150.25399999999982</v>
      </c>
      <c r="Z56" s="40">
        <f t="shared" si="82"/>
        <v>282.45399999999978</v>
      </c>
      <c r="AA56" s="40">
        <f t="shared" ref="AA56:AB56" si="83">SUM(AA51:AA54)</f>
        <v>459.154</v>
      </c>
      <c r="AB56" s="40">
        <f t="shared" si="83"/>
        <v>358.05400000000026</v>
      </c>
      <c r="AC56" s="40">
        <f t="shared" ref="AC56:AD56" si="84">SUM(AC51:AC54)</f>
        <v>1005.1540000000001</v>
      </c>
      <c r="AD56" s="40">
        <f t="shared" si="84"/>
        <v>853.55400000000009</v>
      </c>
      <c r="AE56" s="40">
        <f t="shared" ref="AE56:AF56" si="85">SUM(AE51:AE54)</f>
        <v>209.25400000000002</v>
      </c>
      <c r="AF56" s="40">
        <f t="shared" si="85"/>
        <v>459.154</v>
      </c>
      <c r="AG56" s="40">
        <f t="shared" ref="AG56" si="86">SUM(AG51:AG54)</f>
        <v>184.95400000000006</v>
      </c>
      <c r="AH56" s="40">
        <v>374.05400000000003</v>
      </c>
      <c r="AI56" s="40">
        <v>462.25400000000008</v>
      </c>
      <c r="AJ56" s="40">
        <v>505.15400000000017</v>
      </c>
      <c r="AK56" s="40">
        <v>1019.2540000000001</v>
      </c>
      <c r="AL56" s="40">
        <v>398.35400000000004</v>
      </c>
      <c r="AM56" s="40">
        <v>145.95400000000006</v>
      </c>
      <c r="AN56" s="40">
        <v>114.55400000000009</v>
      </c>
      <c r="AO56" s="40">
        <v>227.15400000000008</v>
      </c>
      <c r="AP56" s="40">
        <v>346.75400000000008</v>
      </c>
      <c r="AQ56" s="40">
        <v>148.8000000000001</v>
      </c>
      <c r="AR56" s="40">
        <v>294.00000000000006</v>
      </c>
      <c r="AS56" s="40">
        <v>139.50000000000006</v>
      </c>
      <c r="AT56" s="40">
        <v>353.50000000000006</v>
      </c>
      <c r="AU56" s="40">
        <v>266.39999999999992</v>
      </c>
      <c r="AV56" s="40">
        <v>231.99999999999997</v>
      </c>
      <c r="AW56" s="40">
        <v>253.60000000000002</v>
      </c>
    </row>
    <row r="57" spans="2:49" ht="9" customHeight="1" x14ac:dyDescent="0.3"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</row>
    <row r="58" spans="2:49" x14ac:dyDescent="0.3">
      <c r="B58" s="5" t="s">
        <v>79</v>
      </c>
      <c r="C58" s="33">
        <f>+'CF YTD 2012 - 2023'!C46</f>
        <v>474.1</v>
      </c>
      <c r="D58" s="33">
        <f>+'CF YTD 2012 - 2023'!D46</f>
        <v>553.1</v>
      </c>
      <c r="E58" s="33">
        <f>+'CF YTD 2012 - 2023'!E46</f>
        <v>1699.4</v>
      </c>
      <c r="F58" s="33">
        <f>+'CF YTD 2012 - 2023'!F46</f>
        <v>2269.8000000000002</v>
      </c>
      <c r="G58" s="33">
        <f>+'CF YTD 2012 - 2023'!G46</f>
        <v>2522.9</v>
      </c>
      <c r="H58" s="33">
        <f>+'CF YTD 2012 - 2023'!H46</f>
        <v>2962.6</v>
      </c>
      <c r="I58" s="33">
        <f>+'CF YTD 2012 - 2023'!I46</f>
        <v>3045.7</v>
      </c>
      <c r="J58" s="33">
        <f>+'CF YTD 2012 - 2023'!J46</f>
        <v>3124.8</v>
      </c>
      <c r="K58" s="33">
        <f>+'CF YTD 2012 - 2023'!K46</f>
        <v>2296.1999999999998</v>
      </c>
      <c r="L58" s="33">
        <f>+'CF YTD 2012 - 2023'!L46</f>
        <v>2327.5</v>
      </c>
      <c r="M58" s="33">
        <f>+'CF YTD 2012 - 2023'!M46</f>
        <v>2342.8000000000002</v>
      </c>
      <c r="N58" s="33">
        <f>+'CF YTD 2012 - 2023'!N46</f>
        <v>1384.1</v>
      </c>
      <c r="O58" s="33">
        <f>+'CF YTD 2012 - 2023'!O46</f>
        <v>2007.7</v>
      </c>
      <c r="P58" s="33">
        <f>+'CF YTD 2012 - 2023'!P46</f>
        <v>2003</v>
      </c>
      <c r="Q58" s="33">
        <f>+'CF YTD 2012 - 2023'!Q46</f>
        <v>740.6</v>
      </c>
      <c r="R58" s="33">
        <f>+'CF YTD 2012 - 2023'!R46</f>
        <v>174.8</v>
      </c>
      <c r="S58" s="33">
        <f>+'CF YTD 2012 - 2023'!S46</f>
        <v>1391</v>
      </c>
      <c r="T58" s="33">
        <f>+'CF YTD 2012 - 2023'!T46</f>
        <v>1523.5</v>
      </c>
      <c r="U58" s="33">
        <f>+'CF YTD 2012 - 2023'!U46</f>
        <v>1787.5</v>
      </c>
      <c r="V58" s="33">
        <f>+'CF YTD 2012 - 2023'!V46</f>
        <v>2050.5</v>
      </c>
      <c r="W58" s="33">
        <f>+'CF YTD 2012 - 2023'!W46</f>
        <v>2061.8000000000002</v>
      </c>
      <c r="X58" s="33">
        <f>+'CF YTD 2012 - 2023'!X46</f>
        <v>2300.1999999999998</v>
      </c>
      <c r="Y58" s="33">
        <f>+'CF YTD 2012 - 2023'!Y46</f>
        <v>2295.6</v>
      </c>
      <c r="Z58" s="33">
        <f>+'CF YTD 2012 - 2023'!Z46</f>
        <v>2301.1999999999998</v>
      </c>
      <c r="AA58" s="33">
        <f>+'CF YTD 2012 - 2023'!AA46</f>
        <v>1957</v>
      </c>
      <c r="AB58" s="33">
        <f>+'CF YTD 2012 - 2023'!AB46</f>
        <v>1954.3</v>
      </c>
      <c r="AC58" s="33">
        <f>+'CF YTD 2012 - 2023'!AC46</f>
        <v>1051.2</v>
      </c>
      <c r="AD58" s="33">
        <f>+'CF YTD 2012 - 2023'!AD46</f>
        <v>1046.3</v>
      </c>
      <c r="AE58" s="33">
        <f>+'CF YTD 2012 - 2023'!AE46</f>
        <v>1045.2</v>
      </c>
      <c r="AF58" s="33">
        <f>+'CF YTD 2012 - 2023'!AF46</f>
        <v>1042.8</v>
      </c>
      <c r="AG58" s="33">
        <f>+'CF YTD 2012 - 2023'!AG46</f>
        <v>787</v>
      </c>
      <c r="AH58" s="33">
        <v>684.1</v>
      </c>
      <c r="AI58" s="33">
        <v>771.6</v>
      </c>
      <c r="AJ58" s="33">
        <v>779.8</v>
      </c>
      <c r="AK58" s="33">
        <v>588.20000000000005</v>
      </c>
      <c r="AL58" s="33">
        <v>581.29999999999995</v>
      </c>
      <c r="AM58" s="33">
        <v>90.1</v>
      </c>
      <c r="AN58" s="33">
        <v>187.9</v>
      </c>
      <c r="AO58" s="33">
        <v>187.7</v>
      </c>
      <c r="AP58" s="33">
        <v>185.28200000000001</v>
      </c>
      <c r="AQ58" s="33">
        <v>277.2</v>
      </c>
      <c r="AR58" s="33">
        <v>280.60000000000002</v>
      </c>
      <c r="AS58" s="33">
        <v>283.5</v>
      </c>
      <c r="AT58" s="33">
        <v>196.4</v>
      </c>
      <c r="AU58" s="33">
        <v>280</v>
      </c>
      <c r="AV58" s="33">
        <v>279.3</v>
      </c>
      <c r="AW58" s="33">
        <v>275.3</v>
      </c>
    </row>
    <row r="59" spans="2:49" x14ac:dyDescent="0.3">
      <c r="B59" s="5" t="s">
        <v>80</v>
      </c>
      <c r="C59" s="33">
        <f>+'CF YTD 2012 - 2023'!C47</f>
        <v>20</v>
      </c>
      <c r="D59" s="33">
        <f>+'CF YTD 2012 - 2023'!D47</f>
        <v>20</v>
      </c>
      <c r="E59" s="33">
        <f>+'CF YTD 2012 - 2023'!E47</f>
        <v>20</v>
      </c>
      <c r="F59" s="33">
        <f>+'CF YTD 2012 - 2023'!F47</f>
        <v>20</v>
      </c>
      <c r="G59" s="33">
        <f>+'CF YTD 2012 - 2023'!G47</f>
        <v>20</v>
      </c>
      <c r="H59" s="33">
        <f>+'CF YTD 2012 - 2023'!H47</f>
        <v>20</v>
      </c>
      <c r="I59" s="33">
        <f>+'CF YTD 2012 - 2023'!I47</f>
        <v>20</v>
      </c>
      <c r="J59" s="33">
        <f>+'CF YTD 2012 - 2023'!J47</f>
        <v>243.1</v>
      </c>
      <c r="K59" s="33">
        <f>+'CF YTD 2012 - 2023'!K47</f>
        <v>243.1</v>
      </c>
      <c r="L59" s="33">
        <f>+'CF YTD 2012 - 2023'!L47</f>
        <v>243.1</v>
      </c>
      <c r="M59" s="33">
        <f>+'CF YTD 2012 - 2023'!M47</f>
        <v>243.1</v>
      </c>
      <c r="N59" s="33">
        <f>+'CF YTD 2012 - 2023'!N47</f>
        <v>243.227</v>
      </c>
      <c r="O59" s="33">
        <f>+'CF YTD 2012 - 2023'!O47</f>
        <v>243.3</v>
      </c>
      <c r="P59" s="33">
        <f>+'CF YTD 2012 - 2023'!P47</f>
        <v>243.9</v>
      </c>
      <c r="Q59" s="33">
        <f>+'CF YTD 2012 - 2023'!Q47</f>
        <v>244.1</v>
      </c>
      <c r="R59" s="33">
        <f>+'CF YTD 2012 - 2023'!R47</f>
        <v>244.1</v>
      </c>
      <c r="S59" s="33">
        <f>+'CF YTD 2012 - 2023'!S47</f>
        <v>244</v>
      </c>
      <c r="T59" s="33">
        <f>+'CF YTD 2012 - 2023'!T47</f>
        <v>243.79999999999998</v>
      </c>
      <c r="U59" s="33">
        <f>+'CF YTD 2012 - 2023'!U47</f>
        <v>243.7</v>
      </c>
      <c r="V59" s="33">
        <f>+'CF YTD 2012 - 2023'!V47</f>
        <v>244.01900000000001</v>
      </c>
      <c r="W59" s="33">
        <f>+'CF YTD 2012 - 2023'!W47</f>
        <v>243.7</v>
      </c>
      <c r="X59" s="33">
        <f>+'CF YTD 2012 - 2023'!X47</f>
        <v>20</v>
      </c>
      <c r="Y59" s="33">
        <f>+'CF YTD 2012 - 2023'!Y47</f>
        <v>20</v>
      </c>
      <c r="Z59" s="33">
        <f>+'CF YTD 2012 - 2023'!Z47</f>
        <v>19.7</v>
      </c>
      <c r="AA59" s="33">
        <f>+'CF YTD 2012 - 2023'!AA47</f>
        <v>392.1</v>
      </c>
      <c r="AB59" s="33">
        <f>+'CF YTD 2012 - 2023'!AB47</f>
        <v>391.8</v>
      </c>
      <c r="AC59" s="33">
        <f>+'CF YTD 2012 - 2023'!AC47</f>
        <v>391.9</v>
      </c>
      <c r="AD59" s="33">
        <f>+'CF YTD 2012 - 2023'!AD47</f>
        <v>391.72</v>
      </c>
      <c r="AE59" s="33">
        <f>+'CF YTD 2012 - 2023'!AE47</f>
        <v>392.6</v>
      </c>
      <c r="AF59" s="33">
        <f>+'CF YTD 2012 - 2023'!AF47</f>
        <v>392</v>
      </c>
      <c r="AG59" s="33">
        <f>+'CF YTD 2012 - 2023'!AG47</f>
        <v>392.6</v>
      </c>
      <c r="AH59" s="33">
        <v>393</v>
      </c>
      <c r="AI59" s="33">
        <v>398.4</v>
      </c>
      <c r="AJ59" s="33">
        <v>384</v>
      </c>
      <c r="AK59" s="33">
        <v>11</v>
      </c>
      <c r="AL59" s="33">
        <v>20</v>
      </c>
      <c r="AM59" s="33">
        <v>120</v>
      </c>
      <c r="AN59" s="33">
        <v>120</v>
      </c>
      <c r="AO59" s="33">
        <v>120</v>
      </c>
      <c r="AP59" s="33">
        <v>120</v>
      </c>
      <c r="AQ59" s="33">
        <v>120</v>
      </c>
      <c r="AR59" s="33">
        <v>120</v>
      </c>
      <c r="AS59" s="33">
        <v>120</v>
      </c>
      <c r="AT59" s="33">
        <v>120</v>
      </c>
      <c r="AU59" s="33">
        <v>120</v>
      </c>
      <c r="AV59" s="33">
        <v>120</v>
      </c>
      <c r="AW59" s="33">
        <v>120</v>
      </c>
    </row>
    <row r="60" spans="2:49" x14ac:dyDescent="0.3">
      <c r="B60" s="15" t="s">
        <v>178</v>
      </c>
      <c r="C60" s="39">
        <f>+'CF YTD 2012 - 2023'!C48</f>
        <v>0</v>
      </c>
      <c r="D60" s="39">
        <f>+'CF YTD 2012 - 2023'!D48</f>
        <v>0</v>
      </c>
      <c r="E60" s="39">
        <f>+'CF YTD 2012 - 2023'!E48</f>
        <v>0</v>
      </c>
      <c r="F60" s="39">
        <f>+'CF YTD 2012 - 2023'!F48</f>
        <v>-500</v>
      </c>
      <c r="G60" s="39">
        <f>+'CF YTD 2012 - 2023'!G48</f>
        <v>-500</v>
      </c>
      <c r="H60" s="39">
        <f>+'CF YTD 2012 - 2023'!H48</f>
        <v>-500</v>
      </c>
      <c r="I60" s="39">
        <f>+'CF YTD 2012 - 2023'!I48</f>
        <v>-500</v>
      </c>
      <c r="J60" s="39">
        <f>+'CF YTD 2012 - 2023'!J48</f>
        <v>-500</v>
      </c>
      <c r="K60" s="39">
        <f>+'CF YTD 2012 - 2023'!K48</f>
        <v>-456.4</v>
      </c>
      <c r="L60" s="39">
        <f>+'CF YTD 2012 - 2023'!L48</f>
        <v>-306.7</v>
      </c>
      <c r="M60" s="39">
        <f>+'CF YTD 2012 - 2023'!M48</f>
        <v>0</v>
      </c>
      <c r="N60" s="39">
        <f>+'CF YTD 2012 - 2023'!N48</f>
        <v>0</v>
      </c>
      <c r="O60" s="39">
        <f>+'CF YTD 2012 - 2023'!O48</f>
        <v>0</v>
      </c>
      <c r="P60" s="39">
        <f>+'CF YTD 2012 - 2023'!P48</f>
        <v>0</v>
      </c>
      <c r="Q60" s="39">
        <f>+'CF YTD 2012 - 2023'!Q48</f>
        <v>0</v>
      </c>
      <c r="R60" s="39">
        <f>+'CF YTD 2012 - 2023'!R48</f>
        <v>0</v>
      </c>
      <c r="S60" s="39">
        <f>+'CF YTD 2012 - 2023'!S48</f>
        <v>0</v>
      </c>
      <c r="T60" s="39">
        <f>+'CF YTD 2012 - 2023'!T48</f>
        <v>0</v>
      </c>
      <c r="U60" s="39">
        <f>+'CF YTD 2012 - 2023'!U48</f>
        <v>0</v>
      </c>
      <c r="V60" s="39">
        <f>+'CF YTD 2012 - 2023'!V48</f>
        <v>-246.7</v>
      </c>
      <c r="W60" s="39">
        <f>+'CF YTD 2012 - 2023'!W48</f>
        <v>-249.1</v>
      </c>
      <c r="X60" s="39">
        <f>+'CF YTD 2012 - 2023'!X48</f>
        <v>-288.3</v>
      </c>
      <c r="Y60" s="39">
        <f>+'CF YTD 2012 - 2023'!Y48</f>
        <v>-110.9</v>
      </c>
      <c r="Z60" s="39">
        <f>+'CF YTD 2012 - 2023'!Z48</f>
        <v>0</v>
      </c>
      <c r="AA60" s="39">
        <f>+'CF YTD 2012 - 2023'!AA48</f>
        <v>0</v>
      </c>
      <c r="AB60" s="39">
        <f>+'CF YTD 2012 - 2023'!AB48</f>
        <v>0</v>
      </c>
      <c r="AC60" s="39">
        <f>+'CF YTD 2012 - 2023'!AC48</f>
        <v>0</v>
      </c>
      <c r="AD60" s="39">
        <f>+'CF YTD 2012 - 2023'!AD48</f>
        <v>0</v>
      </c>
      <c r="AE60" s="39">
        <f>+'CF YTD 2012 - 2023'!AE48</f>
        <v>0</v>
      </c>
      <c r="AF60" s="39">
        <f>+'CF YTD 2012 - 2023'!AF48</f>
        <v>0</v>
      </c>
      <c r="AG60" s="39">
        <f>+'CF YTD 2012 - 2023'!AG48</f>
        <v>0</v>
      </c>
      <c r="AH60" s="39">
        <v>0</v>
      </c>
      <c r="AI60" s="39">
        <v>0</v>
      </c>
      <c r="AJ60" s="39">
        <v>0</v>
      </c>
      <c r="AK60" s="39">
        <v>0</v>
      </c>
      <c r="AL60" s="39">
        <v>0</v>
      </c>
      <c r="AM60" s="39">
        <v>0</v>
      </c>
      <c r="AN60" s="39">
        <v>0</v>
      </c>
      <c r="AO60" s="39">
        <v>0</v>
      </c>
      <c r="AP60" s="39">
        <v>0</v>
      </c>
      <c r="AQ60" s="39">
        <v>0</v>
      </c>
      <c r="AR60" s="39">
        <v>0</v>
      </c>
      <c r="AS60" s="39">
        <v>0</v>
      </c>
      <c r="AT60" s="39">
        <v>0</v>
      </c>
      <c r="AU60" s="39">
        <v>0</v>
      </c>
      <c r="AV60" s="39">
        <v>0</v>
      </c>
      <c r="AW60" s="39">
        <v>0</v>
      </c>
    </row>
    <row r="61" spans="2:49" ht="9" customHeight="1" x14ac:dyDescent="0.3"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</row>
    <row r="62" spans="2:49" x14ac:dyDescent="0.3">
      <c r="B62" s="8" t="s">
        <v>81</v>
      </c>
      <c r="C62" s="40">
        <f t="shared" ref="C62" si="87">+C56+C58+C59+C60</f>
        <v>1526.3140000000012</v>
      </c>
      <c r="D62" s="40">
        <f t="shared" ref="D62:E62" si="88">+D56+D58+D59+D60</f>
        <v>1405.0140000000008</v>
      </c>
      <c r="E62" s="40">
        <f t="shared" si="88"/>
        <v>2991.1140000000009</v>
      </c>
      <c r="F62" s="40">
        <f t="shared" ref="F62:G62" si="89">+F56+F58+F59+F60</f>
        <v>2365.2140000000013</v>
      </c>
      <c r="G62" s="40">
        <f t="shared" si="89"/>
        <v>2761.4540000000011</v>
      </c>
      <c r="H62" s="40">
        <f t="shared" ref="H62:I62" si="90">+H56+H58+H59+H60</f>
        <v>2773.3540000000012</v>
      </c>
      <c r="I62" s="40">
        <f t="shared" si="90"/>
        <v>2967.054000000001</v>
      </c>
      <c r="J62" s="40">
        <f t="shared" ref="J62:K62" si="91">+J56+J58+J59+J60</f>
        <v>3459.6540000000009</v>
      </c>
      <c r="K62" s="40">
        <f t="shared" si="91"/>
        <v>2424.654</v>
      </c>
      <c r="L62" s="40">
        <f t="shared" ref="L62:M62" si="92">+L56+L58+L59+L60</f>
        <v>2449.7540000000004</v>
      </c>
      <c r="M62" s="40">
        <f t="shared" si="92"/>
        <v>2831.6540000000005</v>
      </c>
      <c r="N62" s="40">
        <f t="shared" ref="N62:O62" si="93">+N56+N58+N59+N60</f>
        <v>1912.7810000000004</v>
      </c>
      <c r="O62" s="40">
        <f t="shared" si="93"/>
        <v>2812.3540000000003</v>
      </c>
      <c r="P62" s="40">
        <f t="shared" ref="P62:Q62" si="94">+P56+P58+P59+P60</f>
        <v>2623.7540000000004</v>
      </c>
      <c r="Q62" s="40">
        <f t="shared" si="94"/>
        <v>2449.2539999999999</v>
      </c>
      <c r="R62" s="40">
        <f t="shared" ref="R62:S62" si="95">+R56+R58+R59+R60</f>
        <v>716.35400000000016</v>
      </c>
      <c r="S62" s="40">
        <f t="shared" si="95"/>
        <v>1739.5539999999999</v>
      </c>
      <c r="T62" s="40">
        <f t="shared" ref="T62:Y62" si="96">+T56+T58+T59+T60</f>
        <v>1881.454</v>
      </c>
      <c r="U62" s="40">
        <f t="shared" si="96"/>
        <v>2171.4539999999997</v>
      </c>
      <c r="V62" s="40">
        <f t="shared" si="96"/>
        <v>2314.473</v>
      </c>
      <c r="W62" s="40">
        <f t="shared" si="96"/>
        <v>2402.0540000000001</v>
      </c>
      <c r="X62" s="40">
        <f t="shared" si="96"/>
        <v>2211.4539999999997</v>
      </c>
      <c r="Y62" s="40">
        <f t="shared" si="96"/>
        <v>2354.9539999999997</v>
      </c>
      <c r="Z62" s="40">
        <f t="shared" ref="Z62:AW62" si="97">+Z56+Z58+Z59+Z60</f>
        <v>2603.3539999999994</v>
      </c>
      <c r="AA62" s="40">
        <f t="shared" si="97"/>
        <v>2808.2539999999999</v>
      </c>
      <c r="AB62" s="40">
        <f t="shared" si="97"/>
        <v>2704.1540000000005</v>
      </c>
      <c r="AC62" s="40">
        <f t="shared" si="97"/>
        <v>2448.2540000000004</v>
      </c>
      <c r="AD62" s="40">
        <f t="shared" si="97"/>
        <v>2291.5740000000001</v>
      </c>
      <c r="AE62" s="40">
        <f t="shared" si="97"/>
        <v>1647.0540000000001</v>
      </c>
      <c r="AF62" s="40">
        <f t="shared" si="97"/>
        <v>1893.954</v>
      </c>
      <c r="AG62" s="40">
        <f t="shared" si="97"/>
        <v>1364.5540000000001</v>
      </c>
      <c r="AH62" s="40">
        <f t="shared" si="97"/>
        <v>1451.154</v>
      </c>
      <c r="AI62" s="40">
        <f t="shared" si="97"/>
        <v>1632.2539999999999</v>
      </c>
      <c r="AJ62" s="40">
        <f t="shared" si="97"/>
        <v>1668.9540000000002</v>
      </c>
      <c r="AK62" s="40">
        <f t="shared" si="97"/>
        <v>1618.4540000000002</v>
      </c>
      <c r="AL62" s="40">
        <f t="shared" si="97"/>
        <v>999.654</v>
      </c>
      <c r="AM62" s="40">
        <f t="shared" si="97"/>
        <v>356.05400000000009</v>
      </c>
      <c r="AN62" s="40">
        <f t="shared" si="97"/>
        <v>422.45400000000006</v>
      </c>
      <c r="AO62" s="40">
        <f t="shared" si="97"/>
        <v>534.85400000000004</v>
      </c>
      <c r="AP62" s="40">
        <f t="shared" si="97"/>
        <v>652.03600000000006</v>
      </c>
      <c r="AQ62" s="40">
        <f t="shared" si="97"/>
        <v>546.00000000000011</v>
      </c>
      <c r="AR62" s="40">
        <f t="shared" si="97"/>
        <v>694.60000000000014</v>
      </c>
      <c r="AS62" s="40">
        <f t="shared" si="97"/>
        <v>543</v>
      </c>
      <c r="AT62" s="40">
        <f t="shared" si="97"/>
        <v>669.90000000000009</v>
      </c>
      <c r="AU62" s="40">
        <f t="shared" si="97"/>
        <v>666.39999999999986</v>
      </c>
      <c r="AV62" s="40">
        <f t="shared" si="97"/>
        <v>631.29999999999995</v>
      </c>
      <c r="AW62" s="40">
        <f t="shared" si="97"/>
        <v>648.90000000000009</v>
      </c>
    </row>
    <row r="63" spans="2:49" ht="9" customHeight="1" x14ac:dyDescent="0.3"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</row>
    <row r="64" spans="2:49" ht="17.25" x14ac:dyDescent="0.3">
      <c r="B64" s="5" t="s">
        <v>128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</row>
    <row r="65" spans="3:49" x14ac:dyDescent="0.3"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</row>
  </sheetData>
  <pageMargins left="0.35433070866141736" right="0.35433070866141736" top="0.39370078740157483" bottom="0.39370078740157483" header="0.51181102362204722" footer="0.51181102362204722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Y9"/>
  <sheetViews>
    <sheetView workbookViewId="0">
      <selection activeCell="I41" sqref="I41:J41"/>
    </sheetView>
  </sheetViews>
  <sheetFormatPr defaultRowHeight="12.75" x14ac:dyDescent="0.2"/>
  <cols>
    <col min="1" max="1" width="5.7109375" style="64" customWidth="1"/>
    <col min="2" max="2" width="35.42578125" style="64" bestFit="1" customWidth="1"/>
    <col min="3" max="3" width="1.85546875" style="64" customWidth="1"/>
    <col min="4" max="25" width="9.140625" style="64" customWidth="1"/>
    <col min="26" max="16384" width="9.140625" style="64"/>
  </cols>
  <sheetData>
    <row r="1" spans="2:51" s="5" customFormat="1" ht="18.75" x14ac:dyDescent="0.3">
      <c r="B1" s="44" t="s">
        <v>82</v>
      </c>
      <c r="AS1" s="25"/>
      <c r="AT1" s="25"/>
      <c r="AV1" s="25"/>
    </row>
    <row r="2" spans="2:51" s="5" customFormat="1" ht="15" x14ac:dyDescent="0.3"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V2" s="68"/>
      <c r="W2" s="68"/>
      <c r="X2" s="68"/>
      <c r="AS2" s="25"/>
      <c r="AT2" s="25"/>
      <c r="AV2" s="25"/>
    </row>
    <row r="3" spans="2:51" s="5" customFormat="1" ht="18.75" x14ac:dyDescent="0.3">
      <c r="B3" s="1" t="s">
        <v>179</v>
      </c>
      <c r="AS3" s="25"/>
      <c r="AT3" s="25"/>
      <c r="AV3" s="25"/>
    </row>
    <row r="5" spans="2:51" s="5" customFormat="1" ht="15.75" x14ac:dyDescent="0.35">
      <c r="B5" s="8" t="s">
        <v>180</v>
      </c>
      <c r="C5" s="46"/>
      <c r="D5" s="9" t="s">
        <v>278</v>
      </c>
      <c r="E5" s="9" t="s">
        <v>270</v>
      </c>
      <c r="F5" s="9" t="s">
        <v>267</v>
      </c>
      <c r="G5" s="9" t="s">
        <v>264</v>
      </c>
      <c r="H5" s="9" t="s">
        <v>261</v>
      </c>
      <c r="I5" s="9" t="s">
        <v>257</v>
      </c>
      <c r="J5" s="9" t="s">
        <v>254</v>
      </c>
      <c r="K5" s="9" t="s">
        <v>250</v>
      </c>
      <c r="L5" s="9" t="s">
        <v>246</v>
      </c>
      <c r="M5" s="9" t="s">
        <v>243</v>
      </c>
      <c r="N5" s="9" t="s">
        <v>240</v>
      </c>
      <c r="O5" s="9" t="s">
        <v>237</v>
      </c>
      <c r="P5" s="9" t="s">
        <v>233</v>
      </c>
      <c r="Q5" s="9" t="s">
        <v>227</v>
      </c>
      <c r="R5" s="9" t="s">
        <v>215</v>
      </c>
      <c r="S5" s="9" t="s">
        <v>208</v>
      </c>
      <c r="T5" s="9" t="s">
        <v>205</v>
      </c>
      <c r="U5" s="9" t="s">
        <v>202</v>
      </c>
      <c r="V5" s="9" t="s">
        <v>192</v>
      </c>
      <c r="W5" s="9" t="s">
        <v>189</v>
      </c>
      <c r="X5" s="9" t="s">
        <v>185</v>
      </c>
      <c r="Y5" s="9" t="s">
        <v>182</v>
      </c>
      <c r="Z5" s="9" t="s">
        <v>174</v>
      </c>
      <c r="AA5" s="9" t="s">
        <v>171</v>
      </c>
      <c r="AB5" s="9" t="s">
        <v>168</v>
      </c>
      <c r="AC5" s="9" t="s">
        <v>165</v>
      </c>
      <c r="AD5" s="9" t="s">
        <v>162</v>
      </c>
      <c r="AE5" s="9" t="s">
        <v>159</v>
      </c>
      <c r="AF5" s="9" t="s">
        <v>156</v>
      </c>
      <c r="AG5" s="9" t="s">
        <v>151</v>
      </c>
      <c r="AH5" s="9" t="s">
        <v>148</v>
      </c>
      <c r="AI5" s="9" t="s">
        <v>145</v>
      </c>
      <c r="AJ5" s="9" t="s">
        <v>137</v>
      </c>
      <c r="AK5" s="9" t="s">
        <v>134</v>
      </c>
      <c r="AL5" s="9" t="s">
        <v>129</v>
      </c>
      <c r="AM5" s="9" t="s">
        <v>122</v>
      </c>
      <c r="AN5" s="9" t="s">
        <v>119</v>
      </c>
      <c r="AO5" s="9" t="s">
        <v>115</v>
      </c>
      <c r="AP5" s="9" t="s">
        <v>110</v>
      </c>
      <c r="AQ5" s="9" t="s">
        <v>101</v>
      </c>
      <c r="AR5" s="9" t="s">
        <v>103</v>
      </c>
      <c r="AS5" s="9" t="s">
        <v>104</v>
      </c>
      <c r="AT5" s="9" t="s">
        <v>105</v>
      </c>
      <c r="AU5" s="9" t="s">
        <v>102</v>
      </c>
      <c r="AV5" s="9" t="s">
        <v>106</v>
      </c>
      <c r="AW5" s="9" t="s">
        <v>107</v>
      </c>
      <c r="AX5" s="9" t="s">
        <v>108</v>
      </c>
      <c r="AY5" s="56"/>
    </row>
    <row r="7" spans="2:51" ht="15" x14ac:dyDescent="0.3">
      <c r="AF7" s="65"/>
    </row>
    <row r="8" spans="2:51" ht="15" x14ac:dyDescent="0.3">
      <c r="B8" s="66" t="s">
        <v>188</v>
      </c>
      <c r="D8" s="72">
        <v>76480.672113553097</v>
      </c>
      <c r="E8" s="72">
        <v>75744.706734806634</v>
      </c>
      <c r="F8" s="72">
        <v>73569.252599999993</v>
      </c>
      <c r="G8" s="72">
        <v>70547.859227397261</v>
      </c>
      <c r="H8" s="72">
        <v>70492.788717948715</v>
      </c>
      <c r="I8" s="72">
        <v>70471.002767955797</v>
      </c>
      <c r="J8" s="72">
        <v>70469.049066666659</v>
      </c>
      <c r="K8" s="72">
        <v>63212.57288219178</v>
      </c>
      <c r="L8" s="72">
        <v>62407.844388278376</v>
      </c>
      <c r="M8" s="72">
        <v>61661.334718232036</v>
      </c>
      <c r="N8" s="72">
        <v>59544.92822222221</v>
      </c>
      <c r="O8" s="72">
        <v>54122.308153044636</v>
      </c>
      <c r="P8" s="72">
        <v>52669.176934358897</v>
      </c>
      <c r="Q8" s="72">
        <v>49746.946022056807</v>
      </c>
      <c r="R8" s="65">
        <v>41067.425483674058</v>
      </c>
      <c r="S8" s="65">
        <v>32339.534863013698</v>
      </c>
      <c r="T8" s="65">
        <v>32323.130934065935</v>
      </c>
      <c r="U8" s="65">
        <v>32311.946215469612</v>
      </c>
      <c r="V8" s="65">
        <v>32310.564999999999</v>
      </c>
      <c r="W8" s="65">
        <v>32282.211575342466</v>
      </c>
      <c r="X8" s="65">
        <v>32272.896501831503</v>
      </c>
      <c r="Y8" s="65">
        <v>32253.750082872928</v>
      </c>
      <c r="Z8" s="65">
        <v>32245</v>
      </c>
      <c r="AA8" s="65">
        <v>31648.522775342462</v>
      </c>
      <c r="AB8" s="65">
        <v>31499</v>
      </c>
      <c r="AC8" s="65">
        <v>31401</v>
      </c>
      <c r="AD8" s="65">
        <v>31356</v>
      </c>
      <c r="AE8" s="65">
        <v>30110</v>
      </c>
      <c r="AF8" s="65">
        <v>29774</v>
      </c>
      <c r="AG8" s="65">
        <v>29190</v>
      </c>
      <c r="AH8" s="65">
        <v>28025</v>
      </c>
      <c r="AI8" s="65">
        <v>27799</v>
      </c>
      <c r="AJ8" s="65">
        <v>27755</v>
      </c>
      <c r="AK8" s="65">
        <v>27724</v>
      </c>
      <c r="AL8" s="65">
        <v>27677</v>
      </c>
      <c r="AM8" s="65">
        <v>26364</v>
      </c>
      <c r="AN8" s="65">
        <v>26103</v>
      </c>
      <c r="AO8" s="65">
        <v>26098</v>
      </c>
      <c r="AP8" s="65">
        <v>26094</v>
      </c>
      <c r="AQ8" s="65">
        <v>26094</v>
      </c>
      <c r="AR8" s="65">
        <v>26094</v>
      </c>
      <c r="AS8" s="65">
        <v>26094</v>
      </c>
      <c r="AT8" s="65">
        <v>26094</v>
      </c>
      <c r="AU8" s="65">
        <v>26094</v>
      </c>
      <c r="AV8" s="65">
        <v>26094</v>
      </c>
      <c r="AW8" s="65">
        <v>26094</v>
      </c>
      <c r="AX8" s="65">
        <v>26094</v>
      </c>
    </row>
    <row r="9" spans="2:51" x14ac:dyDescent="0.2">
      <c r="D9" s="75"/>
      <c r="E9" s="75"/>
      <c r="F9" s="75"/>
      <c r="G9" s="75"/>
      <c r="H9" s="75"/>
      <c r="I9" s="69"/>
      <c r="J9" s="69"/>
      <c r="K9" s="69"/>
      <c r="L9" s="69"/>
      <c r="M9" s="69"/>
      <c r="U9" s="69"/>
      <c r="V9" s="69"/>
      <c r="W9" s="69"/>
      <c r="Y9" s="6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PL 2012 - 2023</vt:lpstr>
      <vt:lpstr>BS 2012 - 2023</vt:lpstr>
      <vt:lpstr>CF YTD 2012 - 2023</vt:lpstr>
      <vt:lpstr>CF by Q 2012 - 2023</vt:lpstr>
      <vt:lpstr>Number of shares</vt:lpstr>
      <vt:lpstr>'BS 2012 - 2023'!Print_Area</vt:lpstr>
      <vt:lpstr>'CF by Q 2012 - 2023'!Print_Area</vt:lpstr>
      <vt:lpstr>'CF YTD 2012 - 2023'!Print_Area</vt:lpstr>
      <vt:lpstr>'PL 2012 - 2023'!Print_Area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2016-05-12T09:30:37Z</dcterms:created>
  <dcterms:modified xsi:type="dcterms:W3CDTF">2023-11-16T06:11:30Z</dcterms:modified>
</cp:coreProperties>
</file>